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BusinessUS90\"/>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<sst xmlns="http://schemas.openxmlformats.org/spreadsheetml/2006/main" count="291" uniqueCount="237">
  <si>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</si>
  <si>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</si>
  <si>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</si>
  <si>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</si>
  <si>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</si>
  <si>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</si>
  <si>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</si>
  <si>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</si>
  <si>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</si>
  <si>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</si>
  <si>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</si>
  <si>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</si>
  <si>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</si>
  <si>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</si>
  <si>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</si>
  <si>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</si>
  <si>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</si>
  <si>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</si>
  <si>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</si>
  <si>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</si>
  <si>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</si>
  <si>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</si>
  <si>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</si>
  <si>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</si>
  <si>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</si>
  <si>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</si>
  <si>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</si>
  <si>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</si>
  <si>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</si>
  <si>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</si>
  <si>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</si>
  <si>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</si>
  <si>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</si>
  <si>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</si>
  <si>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</si>
  <si>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</si>
  <si>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</si>
  <si>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</si>
  <si>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</si>
  <si>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</si>
  <si>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</si>
  <si>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</si>
  <si>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</si>
  <si>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</si>
  <si>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</si>
  <si>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</si>
  <si>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</si>
  <si>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</si>
  <si>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</si>
  <si>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</si>
  <si>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</si>
  <si>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</si>
  <si>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</si>
  <si>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</si>
  <si>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</si>
  <si>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</si>
  <si>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</si>
  <si>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</si>
  <si>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</si>
  <si>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</si>
  <si>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</si>
  <si>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</si>
  <si>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</si>
  <si>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</si>
  <si>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</si>
  <si>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</si>
  <si>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</si>
  <si>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</si>
  <si>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</si>
  <si>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</si>
  <si>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</si>
  <si>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</si>
  <si>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</si>
  <si>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</si>
  <si>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</si>
  <si>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</si>
  <si>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</si>
  <si>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</si>
  <si>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</si>
  <si>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</si>
  <si>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</si>
  <si>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</si>
  <si>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</si>
  <si>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</si>
  <si>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</si>
  <si>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</si>
  <si>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</si>
  <si>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</si>
  <si>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</si>
  <si>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</si>
  <si>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</si>
  <si>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</si>
  <si>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</si>
  <si>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</si>
  <si>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</si>
  <si>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</si>
  <si>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</si>
  <si>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</si>
  <si>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</si>
  <si>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</si>
  <si>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</si>
  <si>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</si>
  <si>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</si>
  <si>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</si>
  <si>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</si>
  <si>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</si>
  <si>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</si>
  <si>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</si>
  <si>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</si>
  <si>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</si>
  <si>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</si>
  <si>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</si>
  <si>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</si>
  <si>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</si>
  <si>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</si>
  <si>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</si>
  <si>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</si>
  <si>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</si>
  <si>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</si>
  <si>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</si>
  <si>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</si>
  <si>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</si>
  <si>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</si>
  <si>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</si>
  <si>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</si>
  <si>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</si>
  <si>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</si>
  <si>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</si>
  <si>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</si>
  <si>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</si>
  <si>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</si>
  <si>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</si>
  <si>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</si>
  <si>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</si>
  <si>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</si>
  <si>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</si>
  <si>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</si>
  <si>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</si>
  <si>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</si>
  <si>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</si>
  <si>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</si>
  <si>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</si>
  <si>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</si>
  <si>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</si>
  <si>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</si>
  <si>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</si>
  <si>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</si>
  <si>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</si>
  <si>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</si>
  <si>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</si>
  <si>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</si>
  <si>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</si>
  <si>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</si>
  <si>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</si>
  <si>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</si>
  <si>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</si>
  <si>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</si>
  <si>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</si>
  <si>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</si>
  <si>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</si>
  <si>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</si>
  <si>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</si>
  <si>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</si>
  <si>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</si>
  <si>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</si>
  <si>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</si>
  <si>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</si>
  <si>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</si>
  <si>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</si>
  <si>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</si>
  <si>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</si>
  <si>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</si>
  <si>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</si>
  <si>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</si>
  <si>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</si>
  <si>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</si>
  <si>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</si>
  <si>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</si>
  <si>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</si>
  <si>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</si>
  <si>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</si>
  <si>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</si>
  <si>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</si>
  <si>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</si>
  <si>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</si>
  <si>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</si>
  <si>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</si>
  <si>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</si>
  <si>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</si>
  <si>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</si>
  <si>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</si>
  <si>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</si>
  <si>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</si>
  <si>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</si>
  <si>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</si>
  <si>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</si>
  <si>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</si>
  <si>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</si>
  <si>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</si>
  <si>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</si>
  <si>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</si>
  <si>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</si>
  <si>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</si>
  <si>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</si>
  <si>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</si>
  <si>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</si>
  <si>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</si>
  <si>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</si>
  <si>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</si>
  <si>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</si>
  <si>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</si>
  <si>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</si>
  <si>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</si>
  <si>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</si>
  <si>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</si>
  <si>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</si>
  <si>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</si>
  <si>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</si>
  <si>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</si>
  <si>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</si>
  <si>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</si>
  <si>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</si>
  <si>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</si>
  <si>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</si>
  <si>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</si>
  <si>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</si>
  <si>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</si>
  <si>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</si>
  <si>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</si>
  <si>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</si>
  <si>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</si>
  <si>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</si>
  <si>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</si>
  <si>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Traffic Signal Integration</t>
  </si>
  <si>
    <t>Business 90, FM1942, and FM2100</t>
  </si>
  <si>
    <t>FM2100, Bohemian Hall, Indian Shores</t>
  </si>
  <si>
    <t>Sheldon, US90, and US90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</si>
</sst>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2"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13" zoomScale="115" zoomScaleNormal="115" workbookViewId="0">
      <selection activeCell="G38" sqref="G38"/>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236</v>
      </c>
    </row>
    <row r="11" spans="1:7" x14ac:dyDescent="0.25">
      <c r="A11" s="8" t="s">
        <v>102</v>
      </c>
      <c r="B11" s="138" t="s">
        <v>235</v>
      </c>
    </row>
    <row r="12" spans="1:7" x14ac:dyDescent="0.25">
      <c r="A12" s="8" t="s">
        <v>103</v>
      </c>
      <c r="B12" s="138">
        <v>12.5</v>
      </c>
    </row>
    <row r="13" spans="1:7" x14ac:dyDescent="0.25">
      <c r="A13" s="8" t="s">
        <v>68</v>
      </c>
      <c r="B13" s="138">
        <v>289</v>
      </c>
      <c r="F13" s="120"/>
    </row>
    <row r="14" spans="1:7" x14ac:dyDescent="0.25">
      <c r="A14" s="8" t="s">
        <v>69</v>
      </c>
      <c r="B14" s="138"/>
    </row>
    <row r="17" spans="1:7" x14ac:dyDescent="0.25">
      <c r="A17" s="119" t="s">
        <v>120</v>
      </c>
      <c r="E17" s="151" t="s">
        <v>231</v>
      </c>
      <c r="F17" s="152"/>
    </row>
    <row r="18" spans="1:7" x14ac:dyDescent="0.25">
      <c r="A18" s="8" t="s">
        <v>79</v>
      </c>
      <c r="B18" s="139">
        <v>2029</v>
      </c>
      <c r="E18" s="105" t="s">
        <v>232</v>
      </c>
      <c r="F18" s="145">
        <f>$B$12/$B$32</f>
        <v>0.32051282051282054</v>
      </c>
    </row>
    <row r="19" spans="1:7" ht="45" x14ac:dyDescent="0.25">
      <c r="A19" s="8" t="s">
        <v>121</v>
      </c>
      <c r="B19" s="140" t="s">
        <v>157</v>
      </c>
      <c r="E19" s="107" t="s">
        <v>212</v>
      </c>
      <c r="F19" s="146">
        <f>$B$12/$B$33</f>
        <v>0.59523809523809523</v>
      </c>
    </row>
    <row r="20" spans="1:7" ht="30" x14ac:dyDescent="0.25">
      <c r="A20" s="135" t="s">
        <v>208</v>
      </c>
      <c r="B20" s="136">
        <f>VLOOKUP(B19,'Delay Reduction Factors'!B4:C80,2, FALSE)</f>
        <v>0.2</v>
      </c>
      <c r="E20" s="107" t="s">
        <v>209</v>
      </c>
      <c r="F20" s="145">
        <f>$F$19-$F$18</f>
        <v>0.27472527472527469</v>
      </c>
    </row>
    <row r="21" spans="1:7" x14ac:dyDescent="0.25">
      <c r="A21" s="8" t="s">
        <v>104</v>
      </c>
      <c r="B21" s="79">
        <v>12</v>
      </c>
      <c r="D21" s="121"/>
      <c r="E21" s="105" t="s">
        <v>210</v>
      </c>
      <c r="F21" s="145">
        <f>$F$20*$B$20</f>
        <v>5.4945054945054944E-2</v>
      </c>
      <c r="G21" s="122"/>
    </row>
    <row r="22" spans="1:7" s="113" customFormat="1" x14ac:dyDescent="0.25">
      <c r="D22" s="121"/>
      <c r="E22" s="105" t="s">
        <v>211</v>
      </c>
      <c r="F22" s="145">
        <f>$F$20-$F$21</f>
        <v>0.21978021978021975</v>
      </c>
      <c r="G22" s="122"/>
    </row>
    <row r="23" spans="1:7" x14ac:dyDescent="0.25">
      <c r="E23" s="105" t="s">
        <v>213</v>
      </c>
      <c r="F23" s="145">
        <f>$F$18+$F$22</f>
        <v>0.54029304029304026</v>
      </c>
    </row>
    <row r="24" spans="1:7" x14ac:dyDescent="0.25">
      <c r="A24" s="119" t="s">
        <v>94</v>
      </c>
      <c r="B24" s="123"/>
      <c r="D24" s="121"/>
      <c r="G24" s="124"/>
    </row>
    <row r="25" spans="1:7" x14ac:dyDescent="0.25">
      <c r="A25" s="8" t="s">
        <v>218</v>
      </c>
      <c r="B25" s="141">
        <v>16453</v>
      </c>
      <c r="D25" s="121"/>
      <c r="G25" s="124"/>
    </row>
    <row r="28" spans="1:7" x14ac:dyDescent="0.25">
      <c r="A28" s="105" t="s">
        <v>227</v>
      </c>
      <c r="B28" s="134">
        <f>IF(FacilityType='Delay Reduction Factors'!N5,'Inputs &amp; Outputs'!B25*45%, B25*43%)</f>
        <v>7074.79</v>
      </c>
      <c r="D28" s="121"/>
      <c r="E28" s="125" t="s">
        <v>95</v>
      </c>
      <c r="F28" s="126" t="s">
        <v>20</v>
      </c>
      <c r="G28" s="127" t="s">
        <v>19</v>
      </c>
    </row>
    <row r="29" spans="1:7" x14ac:dyDescent="0.25">
      <c r="A29" s="105" t="s">
        <v>228</v>
      </c>
      <c r="B29" s="115">
        <f>VLOOKUP(Year_Open_to_Traffic?,Calculations!H4:I36,2)</f>
        <v>12949.062587319184</v>
      </c>
      <c r="D29" s="121"/>
      <c r="E29" s="107" t="s">
        <v>122</v>
      </c>
      <c r="F29" s="101">
        <f>$B$29*$F$23</f>
        <v>6996.2883942475437</v>
      </c>
      <c r="G29" s="102">
        <f>$B$29*$F$19</f>
        <v>7707.7753495947518</v>
      </c>
    </row>
    <row r="30" spans="1:7" x14ac:dyDescent="0.25">
      <c r="A30" s="124"/>
      <c r="B30" s="100"/>
      <c r="D30" s="121"/>
    </row>
    <row r="32" spans="1:7" x14ac:dyDescent="0.25">
      <c r="A32" s="128" t="s">
        <v>221</v>
      </c>
      <c r="B32" s="142">
        <v>39</v>
      </c>
      <c r="D32" s="121"/>
    </row>
    <row r="33" spans="1:7" ht="30" x14ac:dyDescent="0.25">
      <c r="A33" s="129" t="s">
        <v>222</v>
      </c>
      <c r="B33" s="143">
        <v>21</v>
      </c>
      <c r="D33" s="121"/>
      <c r="E33" s="121"/>
      <c r="F33" s="130"/>
      <c r="G33" s="117"/>
    </row>
    <row r="34" spans="1:7" x14ac:dyDescent="0.25">
      <c r="A34" s="131"/>
      <c r="B34" s="144"/>
      <c r="E34" s="117"/>
      <c r="F34" s="130"/>
      <c r="G34" s="130"/>
    </row>
    <row r="35" spans="1:7" x14ac:dyDescent="0.25">
      <c r="A35" s="105" t="s">
        <v>223</v>
      </c>
      <c r="B35" s="148">
        <f>$B$28</f>
        <v>7074.79</v>
      </c>
    </row>
    <row r="36" spans="1:7" x14ac:dyDescent="0.25">
      <c r="A36" s="128" t="s">
        <v>224</v>
      </c>
      <c r="B36" s="142">
        <v>13495</v>
      </c>
    </row>
    <row r="37" spans="1:7" x14ac:dyDescent="0.25">
      <c r="A37" s="128" t="s">
        <v>229</v>
      </c>
      <c r="B37" s="142">
        <v>12121</v>
      </c>
    </row>
    <row r="38" spans="1:7" x14ac:dyDescent="0.25">
      <c r="A38" s="128" t="s">
        <v>225</v>
      </c>
      <c r="B38" s="142">
        <v>21689</v>
      </c>
    </row>
    <row r="39" spans="1:7" x14ac:dyDescent="0.25">
      <c r="A39" s="128" t="s">
        <v>230</v>
      </c>
      <c r="B39" s="142">
        <v>16867</v>
      </c>
    </row>
    <row r="40" spans="1:7" x14ac:dyDescent="0.25">
      <c r="A40" s="128" t="s">
        <v>226</v>
      </c>
      <c r="B40" s="142">
        <v>21689</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28686.218740555159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1819034.9825043613</v>
      </c>
      <c r="F4" s="22">
        <f>'Inputs &amp; Outputs'!G29*Annual_Days_of_Travel</f>
        <v>2004021.5908946355</v>
      </c>
      <c r="H4" s="59">
        <v>2018</v>
      </c>
      <c r="I4" s="60">
        <f>'Inputs &amp; Outputs'!B28</f>
        <v>7074.79</v>
      </c>
      <c r="J4" s="60">
        <f>IF(H4=Year_Open_to_Traffic?,$F$4,0)</f>
        <v>0</v>
      </c>
      <c r="K4" s="60">
        <f>IF(H4=Year_Open_to_Traffic?,Calculations!$E$4,0)</f>
        <v>0</v>
      </c>
      <c r="L4" s="60">
        <f>IF(AND(H4&gt;=Year_Open_to_Traffic?, Calculations!H4&lt;Year_Open_to_Traffic?+'Inputs &amp; Outputs'!B$21), 1, 0)</f>
        <v>0</v>
      </c>
      <c r="M4" s="81" t="s">
        <v>75</v>
      </c>
      <c r="N4" s="82">
        <f>MIN(E8,1)</f>
        <v>0.52425268618006671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7.9949771359414834E-2</v>
      </c>
      <c r="F5" s="28"/>
      <c r="H5" s="15">
        <f t="shared" ref="H5:H36" si="3">H4+1</f>
        <v>2019</v>
      </c>
      <c r="I5" s="97">
        <f>(I4*M5)+I4</f>
        <v>7640.4178429158746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7.9949771359414834E-2</v>
      </c>
      <c r="N5" s="87">
        <f t="shared" ref="N5:N11" si="6">N4*(1+IFERROR(_2018_2025_V_C_Growth,_2018_2045_V_C_Growth))</f>
        <v>0.52906146457512082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1.6658204261519982E-2</v>
      </c>
      <c r="F6" s="28"/>
      <c r="H6" s="59">
        <f t="shared" si="3"/>
        <v>2020</v>
      </c>
      <c r="I6" s="97">
        <f t="shared" ref="I6:I36" si="10">(I5*M6)+I5</f>
        <v>8251.2675025473927</v>
      </c>
      <c r="J6" s="60">
        <f t="shared" si="4"/>
        <v>0</v>
      </c>
      <c r="K6" s="60">
        <f>IF(H6=Year_Open_to_Traffic?,Calculations!$E$4,K5+(K5*M6))</f>
        <v>0</v>
      </c>
      <c r="L6" s="60">
        <f>IF(AND(H6&gt;=Year_Open_to_Traffic?, Calculations!H6&lt;Year_Open_to_Traffic?+'Inputs &amp; Outputs'!B$21), 1, 0)</f>
        <v>0</v>
      </c>
      <c r="M6" s="81">
        <f t="shared" si="5"/>
        <v>7.9949771359414834E-2</v>
      </c>
      <c r="N6" s="87">
        <f t="shared" si="6"/>
        <v>0.53391435213787652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3.2701894562364942E-2</v>
      </c>
      <c r="F7" s="28"/>
      <c r="H7" s="15">
        <f t="shared" si="3"/>
        <v>2021</v>
      </c>
      <c r="I7" s="97">
        <f t="shared" si="10"/>
        <v>8910.9544528014267</v>
      </c>
      <c r="J7" s="60">
        <f t="shared" si="4"/>
        <v>0</v>
      </c>
      <c r="K7" s="60">
        <f>IF(H7=Year_Open_to_Traffic?,Calculations!$E$4,K6+(K6*M7))</f>
        <v>0</v>
      </c>
      <c r="L7" s="60">
        <f>IF(AND(H7&gt;=Year_Open_to_Traffic?, Calculations!H7&lt;Year_Open_to_Traffic?+'Inputs &amp; Outputs'!B$21), 1, 0)</f>
        <v>0</v>
      </c>
      <c r="M7" s="81">
        <f t="shared" si="5"/>
        <v>7.9949771359414834E-2</v>
      </c>
      <c r="N7" s="87">
        <f t="shared" si="6"/>
        <v>0.53881175346561727</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0.52425268618006671</v>
      </c>
      <c r="F8" s="28"/>
      <c r="H8" s="59">
        <f t="shared" si="3"/>
        <v>2022</v>
      </c>
      <c r="I8" s="97">
        <f t="shared" si="10"/>
        <v>9623.3832238970608</v>
      </c>
      <c r="J8" s="60">
        <f t="shared" si="4"/>
        <v>0</v>
      </c>
      <c r="K8" s="60">
        <f>IF(H8=Year_Open_to_Traffic?,Calculations!$E$4,K7+(K7*M8))</f>
        <v>0</v>
      </c>
      <c r="L8" s="60">
        <f>IF(AND(H8&gt;=Year_Open_to_Traffic?, Calculations!H8&lt;Year_Open_to_Traffic?+'Inputs &amp; Outputs'!B$21), 1, 0)</f>
        <v>0</v>
      </c>
      <c r="M8" s="81">
        <f t="shared" si="5"/>
        <v>7.9949771359414834E-2</v>
      </c>
      <c r="N8" s="87">
        <f t="shared" si="6"/>
        <v>0.54375407686684962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0.55885471898197248</v>
      </c>
      <c r="F9" s="28"/>
      <c r="H9" s="15">
        <f t="shared" si="3"/>
        <v>2023</v>
      </c>
      <c r="I9" s="97">
        <f t="shared" si="10"/>
        <v>10392.770512351659</v>
      </c>
      <c r="J9" s="60">
        <f t="shared" si="4"/>
        <v>0</v>
      </c>
      <c r="K9" s="60">
        <f>IF(H9=Year_Open_to_Traffic?,Calculations!$E$4,K8+(K8*M9))</f>
        <v>0</v>
      </c>
      <c r="L9" s="60">
        <f>IF(AND(H9&gt;=Year_Open_to_Traffic?, Calculations!H9&lt;Year_Open_to_Traffic?+'Inputs &amp; Outputs'!B$21), 1, 0)</f>
        <v>0</v>
      </c>
      <c r="M9" s="81">
        <f t="shared" si="5"/>
        <v>7.9949771359414834E-2</v>
      </c>
      <c r="N9" s="87">
        <f t="shared" si="6"/>
        <v>0.5487417343953449</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0.7776753192862742</v>
      </c>
      <c r="F10" s="28"/>
      <c r="H10" s="59">
        <f t="shared" si="3"/>
        <v>2024</v>
      </c>
      <c r="I10" s="97">
        <f t="shared" si="10"/>
        <v>11223.670138605043</v>
      </c>
      <c r="J10" s="60">
        <f t="shared" si="4"/>
        <v>0</v>
      </c>
      <c r="K10" s="60">
        <f>IF(H10=Year_Open_to_Traffic?,Calculations!$E$4,K9+(K9*M10))</f>
        <v>0</v>
      </c>
      <c r="L10" s="60">
        <f>IF(AND(H10&gt;=Year_Open_to_Traffic?, Calculations!H10&lt;Year_Open_to_Traffic?+'Inputs &amp; Outputs'!B$21), 1, 0)</f>
        <v>0</v>
      </c>
      <c r="M10" s="81">
        <f t="shared" si="5"/>
        <v>7.9949771359414834E-2</v>
      </c>
      <c r="N10" s="87">
        <f t="shared" si="6"/>
        <v>0.55377514188449317</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9.1726347271445796E-3</v>
      </c>
      <c r="F11" s="28"/>
      <c r="H11" s="15">
        <f t="shared" si="3"/>
        <v>2025</v>
      </c>
      <c r="I11" s="97">
        <f t="shared" si="10"/>
        <v>12121.000000000007</v>
      </c>
      <c r="J11" s="60">
        <f t="shared" si="4"/>
        <v>0</v>
      </c>
      <c r="K11" s="60">
        <f>IF(H11=Year_Open_to_Traffic?,Calculations!$E$4,K10+(K10*M11))</f>
        <v>0</v>
      </c>
      <c r="L11" s="60">
        <f>IF(AND(H11&gt;=Year_Open_to_Traffic?, Calculations!H11&lt;Year_Open_to_Traffic?+'Inputs &amp; Outputs'!B$21), 1, 0)</f>
        <v>0</v>
      </c>
      <c r="M11" s="81">
        <f t="shared" si="5"/>
        <v>7.9949771359414834E-2</v>
      </c>
      <c r="N11" s="87">
        <f t="shared" si="6"/>
        <v>0.55885471898197225</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1.6658204261519982E-2</v>
      </c>
      <c r="F12" s="28"/>
      <c r="H12" s="59">
        <v>2026</v>
      </c>
      <c r="I12" s="97">
        <f t="shared" si="10"/>
        <v>12322.914093853891</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1.6658204261519982E-2</v>
      </c>
      <c r="N12" s="87">
        <f t="shared" ref="N12:N36" si="12">N11*(1+IFERROR(_2025_2045_V_C_Growth,_2018_2045_V_C_Growth))</f>
        <v>0.56816423504328828</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1.4712186014250284E-2</v>
      </c>
      <c r="F13" s="28"/>
      <c r="H13" s="15">
        <f t="shared" si="3"/>
        <v>2027</v>
      </c>
      <c r="I13" s="97">
        <f t="shared" si="10"/>
        <v>12528.191713926473</v>
      </c>
      <c r="J13" s="60">
        <f t="shared" si="4"/>
        <v>0</v>
      </c>
      <c r="K13" s="60">
        <f>IF(H13=Year_Open_to_Traffic?,Calculations!$E$4,K12+(K12*M13))</f>
        <v>0</v>
      </c>
      <c r="L13" s="60">
        <f>IF(AND(H13&gt;=Year_Open_to_Traffic?, Calculations!H13&lt;Year_Open_to_Traffic?+'Inputs &amp; Outputs'!B$21), 1, 0)</f>
        <v>0</v>
      </c>
      <c r="M13" s="81">
        <f t="shared" si="11"/>
        <v>1.6658204261519982E-2</v>
      </c>
      <c r="N13" s="87">
        <f t="shared" si="12"/>
        <v>0.57762883092472961</v>
      </c>
      <c r="O13" s="88">
        <f t="shared" si="7"/>
        <v>1</v>
      </c>
      <c r="P13" s="84">
        <f t="shared" si="8"/>
        <v>0</v>
      </c>
      <c r="Q13" s="85">
        <f t="shared" si="0"/>
        <v>0</v>
      </c>
      <c r="R13" s="86">
        <f t="shared" si="1"/>
        <v>21.754790222980041</v>
      </c>
      <c r="S13" s="94">
        <f t="shared" si="2"/>
        <v>0</v>
      </c>
      <c r="T13" s="80">
        <f t="shared" si="9"/>
        <v>0</v>
      </c>
      <c r="W13" s="73"/>
    </row>
    <row r="14" spans="1:24" x14ac:dyDescent="0.25">
      <c r="H14" s="59">
        <f>H13+1</f>
        <v>2028</v>
      </c>
      <c r="I14" s="97">
        <f t="shared" si="10"/>
        <v>12736.888890524542</v>
      </c>
      <c r="J14" s="60">
        <f t="shared" si="4"/>
        <v>0</v>
      </c>
      <c r="K14" s="60">
        <f>IF(H14=Year_Open_to_Traffic?,Calculations!$E$4,K13+(K13*M14))</f>
        <v>0</v>
      </c>
      <c r="L14" s="60">
        <f>IF(AND(H14&gt;=Year_Open_to_Traffic?, Calculations!H14&lt;Year_Open_to_Traffic?+'Inputs &amp; Outputs'!B$21), 1, 0)</f>
        <v>0</v>
      </c>
      <c r="M14" s="81">
        <f t="shared" si="11"/>
        <v>1.6658204261519982E-2</v>
      </c>
      <c r="N14" s="87">
        <f t="shared" si="12"/>
        <v>0.58725108997761677</v>
      </c>
      <c r="O14" s="88">
        <f t="shared" si="7"/>
        <v>1</v>
      </c>
      <c r="P14" s="84">
        <f t="shared" si="8"/>
        <v>0</v>
      </c>
      <c r="Q14" s="85">
        <f t="shared" si="0"/>
        <v>0</v>
      </c>
      <c r="R14" s="86">
        <f t="shared" si="1"/>
        <v>22.255150398108579</v>
      </c>
      <c r="S14" s="94">
        <f t="shared" si="2"/>
        <v>0</v>
      </c>
      <c r="T14" s="80">
        <f t="shared" si="9"/>
        <v>0</v>
      </c>
      <c r="W14" s="73"/>
    </row>
    <row r="15" spans="1:24" x14ac:dyDescent="0.25">
      <c r="H15" s="15">
        <f t="shared" si="3"/>
        <v>2029</v>
      </c>
      <c r="I15" s="97">
        <f t="shared" si="10"/>
        <v>12949.062587319184</v>
      </c>
      <c r="J15" s="60">
        <f t="shared" si="4"/>
        <v>2004021.5908946355</v>
      </c>
      <c r="K15" s="60">
        <f>IF(H15=Year_Open_to_Traffic?,Calculations!$E$4,K14+(K14*M15))</f>
        <v>1819034.9825043613</v>
      </c>
      <c r="L15" s="60">
        <f>IF(AND(H15&gt;=Year_Open_to_Traffic?, Calculations!H15&lt;Year_Open_to_Traffic?+'Inputs &amp; Outputs'!B$21), 1, 0)</f>
        <v>1</v>
      </c>
      <c r="M15" s="81">
        <f t="shared" si="11"/>
        <v>1.6658204261519982E-2</v>
      </c>
      <c r="N15" s="87">
        <f t="shared" si="12"/>
        <v>0.5970336385872641</v>
      </c>
      <c r="O15" s="88">
        <f t="shared" si="7"/>
        <v>1</v>
      </c>
      <c r="P15" s="84">
        <f t="shared" si="8"/>
        <v>184986.60839027422</v>
      </c>
      <c r="Q15" s="85">
        <f t="shared" si="0"/>
        <v>1</v>
      </c>
      <c r="R15" s="86">
        <f t="shared" si="1"/>
        <v>22.767018857265079</v>
      </c>
      <c r="S15" s="94">
        <f t="shared" si="2"/>
        <v>5854.1151061724076</v>
      </c>
      <c r="T15" s="80">
        <f t="shared" si="9"/>
        <v>2781.2479161662627</v>
      </c>
      <c r="W15" s="73"/>
    </row>
    <row r="16" spans="1:24" x14ac:dyDescent="0.25">
      <c r="H16" s="59">
        <f t="shared" si="3"/>
        <v>2030</v>
      </c>
      <c r="I16" s="97">
        <f t="shared" si="10"/>
        <v>13164.770716893954</v>
      </c>
      <c r="J16" s="60">
        <f t="shared" si="4"/>
        <v>2037404.9919002545</v>
      </c>
      <c r="K16" s="60">
        <f>IF(H16=Year_Open_to_Traffic?,Calculations!$E$4,K15+(K15*M16))</f>
        <v>1849336.8388017693</v>
      </c>
      <c r="L16" s="60">
        <f>IF(AND(H16&gt;=Year_Open_to_Traffic?, Calculations!H16&lt;Year_Open_to_Traffic?+'Inputs &amp; Outputs'!B$21), 1, 0)</f>
        <v>1</v>
      </c>
      <c r="M16" s="81">
        <f t="shared" si="11"/>
        <v>1.6658204261519982E-2</v>
      </c>
      <c r="N16" s="87">
        <f t="shared" si="12"/>
        <v>0.60697914688984922</v>
      </c>
      <c r="O16" s="88">
        <f t="shared" si="7"/>
        <v>1</v>
      </c>
      <c r="P16" s="84">
        <f t="shared" si="8"/>
        <v>188068.1530984852</v>
      </c>
      <c r="Q16" s="85">
        <f t="shared" si="0"/>
        <v>1</v>
      </c>
      <c r="R16" s="86">
        <f t="shared" si="1"/>
        <v>23.290660290982171</v>
      </c>
      <c r="S16" s="94">
        <f t="shared" si="2"/>
        <v>6088.5217368632502</v>
      </c>
      <c r="T16" s="80">
        <f t="shared" si="9"/>
        <v>2703.3764652644563</v>
      </c>
      <c r="W16" s="73"/>
    </row>
    <row r="17" spans="1:23" x14ac:dyDescent="0.25">
      <c r="A17" s="29"/>
      <c r="H17" s="15">
        <f t="shared" si="3"/>
        <v>2031</v>
      </c>
      <c r="I17" s="97">
        <f t="shared" si="10"/>
        <v>13384.072156552051</v>
      </c>
      <c r="J17" s="60">
        <f t="shared" si="4"/>
        <v>2071344.5004187694</v>
      </c>
      <c r="K17" s="60">
        <f>IF(H17=Year_Open_to_Traffic?,Calculations!$E$4,K16+(K16*M17))</f>
        <v>1880143.4696108829</v>
      </c>
      <c r="L17" s="60">
        <f>IF(AND(H17&gt;=Year_Open_to_Traffic?, Calculations!H17&lt;Year_Open_to_Traffic?+'Inputs &amp; Outputs'!B$21), 1, 0)</f>
        <v>1</v>
      </c>
      <c r="M17" s="81">
        <f t="shared" si="11"/>
        <v>1.6658204261519982E-2</v>
      </c>
      <c r="N17" s="87">
        <f t="shared" si="12"/>
        <v>0.61709032950122344</v>
      </c>
      <c r="O17" s="88">
        <f t="shared" si="7"/>
        <v>1</v>
      </c>
      <c r="P17" s="84">
        <f t="shared" si="8"/>
        <v>191201.03080788651</v>
      </c>
      <c r="Q17" s="85">
        <f t="shared" si="0"/>
        <v>1</v>
      </c>
      <c r="R17" s="86">
        <f t="shared" si="1"/>
        <v>23.82634547767476</v>
      </c>
      <c r="S17" s="94">
        <f t="shared" si="2"/>
        <v>6332.3143238455723</v>
      </c>
      <c r="T17" s="80">
        <f t="shared" si="9"/>
        <v>2627.6853172512565</v>
      </c>
      <c r="W17" s="73"/>
    </row>
    <row r="18" spans="1:23" x14ac:dyDescent="0.25">
      <c r="H18" s="59">
        <f t="shared" si="3"/>
        <v>2032</v>
      </c>
      <c r="I18" s="97">
        <f t="shared" si="10"/>
        <v>13607.026764386817</v>
      </c>
      <c r="J18" s="60">
        <f t="shared" si="4"/>
        <v>2105849.3802027213</v>
      </c>
      <c r="K18" s="60">
        <f>IF(H18=Year_Open_to_Traffic?,Calculations!$E$4,K17+(K17*M18))</f>
        <v>1911463.2835686239</v>
      </c>
      <c r="L18" s="60">
        <f>IF(AND(H18&gt;=Year_Open_to_Traffic?, Calculations!H18&lt;Year_Open_to_Traffic?+'Inputs &amp; Outputs'!B$21), 1, 0)</f>
        <v>1</v>
      </c>
      <c r="M18" s="81">
        <f t="shared" si="11"/>
        <v>1.6658204261519982E-2</v>
      </c>
      <c r="N18" s="87">
        <f t="shared" si="12"/>
        <v>0.62736994625786346</v>
      </c>
      <c r="O18" s="88">
        <f t="shared" si="7"/>
        <v>1</v>
      </c>
      <c r="P18" s="84">
        <f t="shared" si="8"/>
        <v>194386.0966340974</v>
      </c>
      <c r="Q18" s="85">
        <f t="shared" si="0"/>
        <v>1</v>
      </c>
      <c r="R18" s="86">
        <f t="shared" si="1"/>
        <v>24.374351423661277</v>
      </c>
      <c r="S18" s="94">
        <f t="shared" si="2"/>
        <v>6585.8686934142461</v>
      </c>
      <c r="T18" s="80">
        <f t="shared" si="9"/>
        <v>2554.1134263822873</v>
      </c>
      <c r="W18" s="73"/>
    </row>
    <row r="19" spans="1:23" x14ac:dyDescent="0.25">
      <c r="H19" s="15">
        <f t="shared" si="3"/>
        <v>2033</v>
      </c>
      <c r="I19" s="97">
        <f t="shared" si="10"/>
        <v>13833.695395619943</v>
      </c>
      <c r="J19" s="60">
        <f t="shared" si="4"/>
        <v>2140929.0493221334</v>
      </c>
      <c r="K19" s="60">
        <f>IF(H19=Year_Open_to_Traffic?,Calculations!$E$4,K18+(K18*M19))</f>
        <v>1943304.8293847058</v>
      </c>
      <c r="L19" s="60">
        <f>IF(AND(H19&gt;=Year_Open_to_Traffic?, Calculations!H19&lt;Year_Open_to_Traffic?+'Inputs &amp; Outputs'!B$21), 1, 0)</f>
        <v>1</v>
      </c>
      <c r="M19" s="81">
        <f t="shared" si="11"/>
        <v>1.6658204261519982E-2</v>
      </c>
      <c r="N19" s="87">
        <f t="shared" si="12"/>
        <v>0.63782080297016575</v>
      </c>
      <c r="O19" s="88">
        <f t="shared" si="7"/>
        <v>1</v>
      </c>
      <c r="P19" s="84">
        <f t="shared" si="8"/>
        <v>197624.21993742767</v>
      </c>
      <c r="Q19" s="85">
        <f t="shared" si="0"/>
        <v>1</v>
      </c>
      <c r="R19" s="86">
        <f t="shared" si="1"/>
        <v>24.934961506405479</v>
      </c>
      <c r="S19" s="94">
        <f t="shared" si="2"/>
        <v>6849.5757204537049</v>
      </c>
      <c r="T19" s="80">
        <f t="shared" si="9"/>
        <v>2482.6014561173934</v>
      </c>
      <c r="W19" s="73"/>
    </row>
    <row r="20" spans="1:23" x14ac:dyDescent="0.25">
      <c r="H20" s="59">
        <f t="shared" si="3"/>
        <v>2034</v>
      </c>
      <c r="I20" s="97">
        <f t="shared" si="10"/>
        <v>14064.139919211828</v>
      </c>
      <c r="J20" s="60">
        <f t="shared" si="4"/>
        <v>2176593.0827351632</v>
      </c>
      <c r="K20" s="60">
        <f>IF(H20=Year_Open_to_Traffic?,Calculations!$E$4,K19+(K19*M20))</f>
        <v>1975676.7981749945</v>
      </c>
      <c r="L20" s="60">
        <f>IF(AND(H20&gt;=Year_Open_to_Traffic?, Calculations!H20&lt;Year_Open_to_Traffic?+'Inputs &amp; Outputs'!B$21), 1, 0)</f>
        <v>1</v>
      </c>
      <c r="M20" s="81">
        <f t="shared" si="11"/>
        <v>1.6658204261519982E-2</v>
      </c>
      <c r="N20" s="87">
        <f t="shared" si="12"/>
        <v>0.64844575218828948</v>
      </c>
      <c r="O20" s="88">
        <f t="shared" si="7"/>
        <v>1</v>
      </c>
      <c r="P20" s="84">
        <f t="shared" si="8"/>
        <v>200916.28456016863</v>
      </c>
      <c r="Q20" s="85">
        <f t="shared" si="0"/>
        <v>1</v>
      </c>
      <c r="R20" s="86">
        <f t="shared" si="1"/>
        <v>25.508465621052807</v>
      </c>
      <c r="S20" s="94">
        <f t="shared" si="2"/>
        <v>7123.8419310036861</v>
      </c>
      <c r="T20" s="80">
        <f t="shared" si="9"/>
        <v>2413.0917312650727</v>
      </c>
      <c r="W20" s="73"/>
    </row>
    <row r="21" spans="1:23" x14ac:dyDescent="0.25">
      <c r="H21" s="15">
        <f t="shared" si="3"/>
        <v>2035</v>
      </c>
      <c r="I21" s="97">
        <f t="shared" si="10"/>
        <v>14298.423234748656</v>
      </c>
      <c r="J21" s="60">
        <f t="shared" si="4"/>
        <v>2212851.2149015767</v>
      </c>
      <c r="K21" s="60">
        <f>IF(H21=Year_Open_to_Traffic?,Calculations!$E$4,K20+(K20*M21))</f>
        <v>2008588.0258337394</v>
      </c>
      <c r="L21" s="60">
        <f>IF(AND(H21&gt;=Year_Open_to_Traffic?, Calculations!H21&lt;Year_Open_to_Traffic?+'Inputs &amp; Outputs'!B$21), 1, 0)</f>
        <v>1</v>
      </c>
      <c r="M21" s="81">
        <f t="shared" si="11"/>
        <v>1.6658204261519982E-2</v>
      </c>
      <c r="N21" s="87">
        <f t="shared" si="12"/>
        <v>0.659247693980757</v>
      </c>
      <c r="O21" s="88">
        <f t="shared" si="7"/>
        <v>1</v>
      </c>
      <c r="P21" s="84">
        <f t="shared" si="8"/>
        <v>204263.18906783732</v>
      </c>
      <c r="Q21" s="85">
        <f t="shared" si="0"/>
        <v>1</v>
      </c>
      <c r="R21" s="86">
        <f t="shared" si="1"/>
        <v>26.095160330337016</v>
      </c>
      <c r="S21" s="94">
        <f t="shared" si="2"/>
        <v>7409.09012895251</v>
      </c>
      <c r="T21" s="80">
        <f t="shared" si="9"/>
        <v>2345.5281914667962</v>
      </c>
      <c r="W21" s="73"/>
    </row>
    <row r="22" spans="1:23" x14ac:dyDescent="0.25">
      <c r="H22" s="59">
        <f>H21+1</f>
        <v>2036</v>
      </c>
      <c r="I22" s="97">
        <f t="shared" si="10"/>
        <v>14536.609289610762</v>
      </c>
      <c r="J22" s="60">
        <f t="shared" si="4"/>
        <v>2249713.34243976</v>
      </c>
      <c r="K22" s="60">
        <f>IF(H22=Year_Open_to_Traffic?,Calculations!$E$4,K21+(K21*M22))</f>
        <v>2042047.4954453211</v>
      </c>
      <c r="L22" s="60">
        <f>IF(AND(H22&gt;=Year_Open_to_Traffic?, Calculations!H22&lt;Year_Open_to_Traffic?+'Inputs &amp; Outputs'!B$21), 1, 0)</f>
        <v>1</v>
      </c>
      <c r="M22" s="81">
        <f t="shared" si="11"/>
        <v>1.6658204261519982E-2</v>
      </c>
      <c r="N22" s="87">
        <f t="shared" si="12"/>
        <v>0.67022957672602446</v>
      </c>
      <c r="O22" s="88">
        <f t="shared" si="7"/>
        <v>1</v>
      </c>
      <c r="P22" s="84">
        <f t="shared" si="8"/>
        <v>207665.84699443891</v>
      </c>
      <c r="Q22" s="85">
        <f t="shared" si="0"/>
        <v>1</v>
      </c>
      <c r="R22" s="86">
        <f t="shared" si="1"/>
        <v>26.695349017934767</v>
      </c>
      <c r="S22" s="94">
        <f t="shared" si="2"/>
        <v>7705.7600478240047</v>
      </c>
      <c r="T22" s="80">
        <f t="shared" si="9"/>
        <v>2279.8563459837164</v>
      </c>
      <c r="W22" s="73"/>
    </row>
    <row r="23" spans="1:23" x14ac:dyDescent="0.25">
      <c r="H23" s="15">
        <f t="shared" si="3"/>
        <v>2037</v>
      </c>
      <c r="I23" s="97">
        <f t="shared" si="10"/>
        <v>14778.763096427007</v>
      </c>
      <c r="J23" s="60">
        <f t="shared" si="4"/>
        <v>2287189.5268279882</v>
      </c>
      <c r="K23" s="60">
        <f>IF(H23=Year_Open_to_Traffic?,Calculations!$E$4,K22+(K22*M23))</f>
        <v>2076064.3397361746</v>
      </c>
      <c r="L23" s="60">
        <f>IF(AND(H23&gt;=Year_Open_to_Traffic?, Calculations!H23&lt;Year_Open_to_Traffic?+'Inputs &amp; Outputs'!B$21), 1, 0)</f>
        <v>1</v>
      </c>
      <c r="M23" s="81">
        <f t="shared" si="11"/>
        <v>1.6658204261519982E-2</v>
      </c>
      <c r="N23" s="87">
        <f t="shared" si="12"/>
        <v>0.68139439791723866</v>
      </c>
      <c r="O23" s="88">
        <f t="shared" si="7"/>
        <v>1</v>
      </c>
      <c r="P23" s="84">
        <f t="shared" si="8"/>
        <v>211125.18709181366</v>
      </c>
      <c r="Q23" s="85">
        <f t="shared" si="0"/>
        <v>1</v>
      </c>
      <c r="R23" s="86">
        <f t="shared" si="1"/>
        <v>27.309342045347261</v>
      </c>
      <c r="S23" s="94">
        <f t="shared" si="2"/>
        <v>8014.3090286628003</v>
      </c>
      <c r="T23" s="80">
        <f t="shared" si="9"/>
        <v>2216.0232297492712</v>
      </c>
      <c r="W23" s="73"/>
    </row>
    <row r="24" spans="1:23" x14ac:dyDescent="0.25">
      <c r="H24" s="59">
        <f t="shared" si="3"/>
        <v>2038</v>
      </c>
      <c r="I24" s="97">
        <f t="shared" si="10"/>
        <v>15024.9507508199</v>
      </c>
      <c r="J24" s="60">
        <f t="shared" si="4"/>
        <v>2325289.9971506982</v>
      </c>
      <c r="K24" s="60">
        <f>IF(H24=Year_Open_to_Traffic?,Calculations!$E$4,K23+(K23*M24))</f>
        <v>2110647.8435675572</v>
      </c>
      <c r="L24" s="60">
        <f>IF(AND(H24&gt;=Year_Open_to_Traffic?, Calculations!H24&lt;Year_Open_to_Traffic?+'Inputs &amp; Outputs'!B$21), 1, 0)</f>
        <v>1</v>
      </c>
      <c r="M24" s="81">
        <f t="shared" si="11"/>
        <v>1.6658204261519982E-2</v>
      </c>
      <c r="N24" s="87">
        <f t="shared" si="12"/>
        <v>0.69274520498039949</v>
      </c>
      <c r="O24" s="88">
        <f t="shared" si="7"/>
        <v>1</v>
      </c>
      <c r="P24" s="84">
        <f>(J24-K24)*L24</f>
        <v>214642.15358314104</v>
      </c>
      <c r="Q24" s="85">
        <f t="shared" si="0"/>
        <v>1</v>
      </c>
      <c r="R24" s="86">
        <f t="shared" si="1"/>
        <v>27.93745691239025</v>
      </c>
      <c r="S24" s="94">
        <f t="shared" si="2"/>
        <v>8335.2127250631966</v>
      </c>
      <c r="T24" s="80">
        <f t="shared" si="9"/>
        <v>2153.9773606523004</v>
      </c>
      <c r="W24" s="73"/>
    </row>
    <row r="25" spans="1:23" x14ac:dyDescent="0.25">
      <c r="H25" s="15">
        <f t="shared" si="3"/>
        <v>2039</v>
      </c>
      <c r="I25" s="97">
        <f t="shared" si="10"/>
        <v>15275.239449446337</v>
      </c>
      <c r="J25" s="60">
        <f t="shared" si="4"/>
        <v>2364025.1528905039</v>
      </c>
      <c r="K25" s="60">
        <f>IF(H25=Year_Open_to_Traffic?,Calculations!$E$4,K24+(K24*M25))</f>
        <v>2145807.446469842</v>
      </c>
      <c r="L25" s="60">
        <f>IF(AND(H25&gt;=Year_Open_to_Traffic?, Calculations!H25&lt;Year_Open_to_Traffic?+'Inputs &amp; Outputs'!B$21), 1, 0)</f>
        <v>1</v>
      </c>
      <c r="M25" s="81">
        <f t="shared" si="11"/>
        <v>1.6658204261519982E-2</v>
      </c>
      <c r="N25" s="87">
        <f t="shared" si="12"/>
        <v>0.70428509610615153</v>
      </c>
      <c r="O25" s="88">
        <f t="shared" si="7"/>
        <v>1</v>
      </c>
      <c r="P25" s="84">
        <f t="shared" si="8"/>
        <v>218217.70642066188</v>
      </c>
      <c r="Q25" s="85">
        <f t="shared" si="0"/>
        <v>1</v>
      </c>
      <c r="R25" s="86">
        <f t="shared" si="1"/>
        <v>28.580018421375218</v>
      </c>
      <c r="S25" s="94">
        <f t="shared" si="2"/>
        <v>8668.9658364281422</v>
      </c>
      <c r="T25" s="80">
        <f t="shared" si="9"/>
        <v>2093.6686980161267</v>
      </c>
      <c r="W25" s="73"/>
    </row>
    <row r="26" spans="1:23" x14ac:dyDescent="0.25">
      <c r="H26" s="59">
        <f t="shared" si="3"/>
        <v>2040</v>
      </c>
      <c r="I26" s="97">
        <f t="shared" si="10"/>
        <v>15529.697508338842</v>
      </c>
      <c r="J26" s="60">
        <f t="shared" si="4"/>
        <v>2403405.5667667249</v>
      </c>
      <c r="K26" s="60">
        <f>IF(H26=Year_Open_to_Traffic?,Calculations!$E$4,K25+(K25*M26))</f>
        <v>2181552.7452190272</v>
      </c>
      <c r="L26" s="60">
        <f>IF(AND(H26&gt;=Year_Open_to_Traffic?, Calculations!H26&lt;Year_Open_to_Traffic?+'Inputs &amp; Outputs'!B$21), 1, 0)</f>
        <v>1</v>
      </c>
      <c r="M26" s="81">
        <f t="shared" si="11"/>
        <v>1.6658204261519982E-2</v>
      </c>
      <c r="N26" s="87">
        <f t="shared" si="12"/>
        <v>0.71601722109543209</v>
      </c>
      <c r="O26" s="88">
        <f t="shared" si="7"/>
        <v>1</v>
      </c>
      <c r="P26" s="84">
        <f t="shared" si="8"/>
        <v>221852.82154769776</v>
      </c>
      <c r="Q26" s="85">
        <f t="shared" si="0"/>
        <v>1</v>
      </c>
      <c r="R26" s="86">
        <f t="shared" si="1"/>
        <v>29.237358845066851</v>
      </c>
      <c r="S26" s="94">
        <f t="shared" si="2"/>
        <v>9016.0828705890581</v>
      </c>
      <c r="T26" s="80">
        <f t="shared" si="9"/>
        <v>2035.0486022402192</v>
      </c>
      <c r="W26" s="73"/>
    </row>
    <row r="27" spans="1:23" x14ac:dyDescent="0.25">
      <c r="H27" s="15">
        <f t="shared" si="3"/>
        <v>2041</v>
      </c>
      <c r="I27" s="97">
        <f t="shared" si="10"/>
        <v>15788.394381552369</v>
      </c>
      <c r="J27" s="60">
        <f t="shared" si="4"/>
        <v>2443441.9876211993</v>
      </c>
      <c r="K27" s="60">
        <f>IF(H27=Year_Open_to_Traffic?,Calculations!$E$4,K26+(K26*M27))</f>
        <v>2217893.4964561653</v>
      </c>
      <c r="L27" s="60">
        <f>IF(AND(H27&gt;=Year_Open_to_Traffic?, Calculations!H27&lt;Year_Open_to_Traffic?+'Inputs &amp; Outputs'!B$21), 1, 0)</f>
        <v>0</v>
      </c>
      <c r="M27" s="81">
        <f t="shared" si="11"/>
        <v>1.6658204261519982E-2</v>
      </c>
      <c r="N27" s="87">
        <f t="shared" si="12"/>
        <v>0.72794478221920567</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16051.400680121702</v>
      </c>
      <c r="J28" s="60">
        <f t="shared" si="4"/>
        <v>2484145.3433521679</v>
      </c>
      <c r="K28" s="60">
        <f>IF(H28=Year_Open_to_Traffic?,Calculations!$E$4,K27+(K27*M28))</f>
        <v>2254839.6193504287</v>
      </c>
      <c r="L28" s="60">
        <f>IF(AND(H28&gt;=Year_Open_to_Traffic?, Calculations!H28&lt;Year_Open_to_Traffic?+'Inputs &amp; Outputs'!B$21), 1, 0)</f>
        <v>0</v>
      </c>
      <c r="M28" s="81">
        <f t="shared" si="11"/>
        <v>1.6658204261519982E-2</v>
      </c>
      <c r="N28" s="87">
        <f t="shared" si="12"/>
        <v>0.74007103509252092</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16318.78819133467</v>
      </c>
      <c r="J29" s="60">
        <f t="shared" si="4"/>
        <v>2525526.743897032</v>
      </c>
      <c r="K29" s="60">
        <f>IF(H29=Year_Open_to_Traffic?,Calculations!$E$4,K28+(K28*M29))</f>
        <v>2292401.1983065363</v>
      </c>
      <c r="L29" s="60">
        <f>IF(AND(H29&gt;=Year_Open_to_Traffic?, Calculations!H29&lt;Year_Open_to_Traffic?+'Inputs &amp; Outputs'!B$21), 1, 0)</f>
        <v>0</v>
      </c>
      <c r="M29" s="81">
        <f t="shared" si="11"/>
        <v>1.6658204261519982E-2</v>
      </c>
      <c r="N29" s="87">
        <f t="shared" si="12"/>
        <v>0.75239928956312663</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16590.629898326402</v>
      </c>
      <c r="J30" s="60">
        <f t="shared" si="4"/>
        <v>2567597.4842648003</v>
      </c>
      <c r="K30" s="60">
        <f>IF(H30=Year_Open_to_Traffic?,Calculations!$E$4,K29+(K29*M30))</f>
        <v>2330588.4857172798</v>
      </c>
      <c r="L30" s="60">
        <f>IF(AND(H30&gt;=Year_Open_to_Traffic?, Calculations!H30&lt;Year_Open_to_Traffic?+'Inputs &amp; Outputs'!B$21), 1, 0)</f>
        <v>0</v>
      </c>
      <c r="M30" s="81">
        <f t="shared" si="11"/>
        <v>1.6658204261519982E-2</v>
      </c>
      <c r="N30" s="87">
        <f t="shared" si="12"/>
        <v>0.76493291061489166</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16867.000000000004</v>
      </c>
      <c r="J31" s="60">
        <f t="shared" si="4"/>
        <v>2610369.047619048</v>
      </c>
      <c r="K31" s="60">
        <f>IF(H31=Year_Open_to_Traffic?,Calculations!$E$4,K30+(K30*M31))</f>
        <v>2369411.9047619049</v>
      </c>
      <c r="L31" s="60">
        <f>IF(AND(H31&gt;=Year_Open_to_Traffic?, Calculations!H31&lt;Year_Open_to_Traffic?+'Inputs &amp; Outputs'!B$21), 1, 0)</f>
        <v>0</v>
      </c>
      <c r="M31" s="81">
        <f t="shared" si="11"/>
        <v>1.6658204261519982E-2</v>
      </c>
      <c r="N31" s="87">
        <f t="shared" si="12"/>
        <v>0.77767531928627354</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17147.973931279063</v>
      </c>
      <c r="J32" s="60">
        <f t="shared" si="4"/>
        <v>2653853.1084122355</v>
      </c>
      <c r="K32" s="60">
        <f>IF(H32=Year_Open_to_Traffic?,Calculations!$E$4,K31+(K31*M32))</f>
        <v>2408882.0522511057</v>
      </c>
      <c r="L32" s="60">
        <f>IF(AND(H32&gt;=Year_Open_to_Traffic?, Calculations!H32&lt;Year_Open_to_Traffic?+'Inputs &amp; Outputs'!B$21), 1, 0)</f>
        <v>0</v>
      </c>
      <c r="M32" s="81">
        <f t="shared" si="11"/>
        <v>1.6658204261519982E-2</v>
      </c>
      <c r="N32" s="87">
        <f t="shared" si="12"/>
        <v>0.79062999360408703</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17433.628383697527</v>
      </c>
      <c r="J33" s="60">
        <f t="shared" si="4"/>
        <v>2698061.5355722364</v>
      </c>
      <c r="K33" s="60">
        <f>IF(H33=Year_Open_to_Traffic?,Calculations!$E$4,K32+(K32*M33))</f>
        <v>2449009.7015194139</v>
      </c>
      <c r="L33" s="60">
        <f>IF(AND(H33&gt;=Year_Open_to_Traffic?, Calculations!H33&lt;Year_Open_to_Traffic?+'Inputs &amp; Outputs'!B$21), 1, 0)</f>
        <v>0</v>
      </c>
      <c r="M33" s="81">
        <f t="shared" si="11"/>
        <v>1.6658204261519982E-2</v>
      </c>
      <c r="N33" s="87">
        <f t="shared" si="12"/>
        <v>0.80380046953282813</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17724.041326332594</v>
      </c>
      <c r="J34" s="60">
        <f t="shared" si="4"/>
        <v>2743006.3957419489</v>
      </c>
      <c r="K34" s="60">
        <f>IF(H34=Year_Open_to_Traffic?,Calculations!$E$4,K33+(K33*M34))</f>
        <v>2489805.8053657683</v>
      </c>
      <c r="L34" s="60">
        <f>IF(AND(H34&gt;=Year_Open_to_Traffic?, Calculations!H34&lt;Year_Open_to_Traffic?+'Inputs &amp; Outputs'!B$21), 1, 0)</f>
        <v>0</v>
      </c>
      <c r="M34" s="81">
        <f t="shared" si="11"/>
        <v>1.6658204261519982E-2</v>
      </c>
      <c r="N34" s="87">
        <f t="shared" si="12"/>
        <v>0.81719034193981166</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18019.292027086263</v>
      </c>
      <c r="J35" s="60">
        <f t="shared" si="4"/>
        <v>2788699.956572874</v>
      </c>
      <c r="K35" s="60">
        <f>IF(H35=Year_Open_to_Traffic?,Calculations!$E$4,K34+(K34*M35))</f>
        <v>2531281.4990430693</v>
      </c>
      <c r="L35" s="60">
        <f>IF(AND(H35&gt;=Year_Open_to_Traffic?, Calculations!H35&lt;Year_Open_to_Traffic?+'Inputs &amp; Outputs'!B$21), 1, 0)</f>
        <v>0</v>
      </c>
      <c r="M35" s="81">
        <f t="shared" si="11"/>
        <v>1.6658204261519982E-2</v>
      </c>
      <c r="N35" s="87">
        <f t="shared" si="12"/>
        <v>0.8308032655763864</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18319.461074321443</v>
      </c>
      <c r="J36" s="60">
        <f t="shared" si="4"/>
        <v>2835154.6900735567</v>
      </c>
      <c r="K36" s="60">
        <f>IF(H36=Year_Open_to_Traffic?,Calculations!$E$4,K35+(K35*M36))</f>
        <v>2573448.1032975353</v>
      </c>
      <c r="L36" s="60">
        <f>IF(AND(H36&gt;=Year_Open_to_Traffic?, Calculations!H36&lt;Year_Open_to_Traffic?+'Inputs &amp; Outputs'!B$21), 1, 0)</f>
        <v>0</v>
      </c>
      <c r="M36" s="81">
        <f t="shared" si="11"/>
        <v>1.6658204261519982E-2</v>
      </c>
      <c r="N36" s="87">
        <f t="shared" si="12"/>
        <v>0.84464295607549567</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28686.218740555159</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topLeftCell="A4" workbookViewId="0">
      <selection activeCell="B56" sqref="B5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2018-10-31T20:25:15Z</dcterms:modified>
</cp:coreProperties>
</file>