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BusinessUS90\"/>
    </mc:Choice>
  </mc:AlternateContent>
  <bookViews>
    <workbookView xWindow="0" yWindow="0" windowWidth="28800" windowHeight="152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<sst xmlns="http://schemas.openxmlformats.org/spreadsheetml/2006/main" count="440" uniqueCount="285">
  <si>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</si>
  <si>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</si>
  <si>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</si>
  <si>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</si>
  <si>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</si>
  <si>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</si>
  <si>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</si>
  <si>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</si>
  <si>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</si>
  <si>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</si>
  <si>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</si>
  <si>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</si>
  <si>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</si>
  <si>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</si>
  <si>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</si>
  <si>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</si>
  <si>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</si>
  <si>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</si>
  <si>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</si>
  <si>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</si>
  <si>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</si>
  <si>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</si>
  <si>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</si>
  <si>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</si>
  <si>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</si>
  <si>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</si>
  <si>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</si>
  <si>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</si>
  <si>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</si>
  <si>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</si>
  <si>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</si>
  <si>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</si>
  <si>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</si>
  <si>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</si>
  <si>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</si>
  <si>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</si>
  <si>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</si>
  <si>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</si>
  <si>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</si>
  <si>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</si>
  <si>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</si>
  <si>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</si>
  <si>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</si>
  <si>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</si>
  <si>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</si>
  <si>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</si>
  <si>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</si>
  <si>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</si>
  <si>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</si>
  <si>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</si>
  <si>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</si>
  <si>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</si>
  <si>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</si>
  <si>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</si>
  <si>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</si>
  <si>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</si>
  <si>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</si>
  <si>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</si>
  <si>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</si>
  <si>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</si>
  <si>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</si>
  <si>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</si>
  <si>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</si>
  <si>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</si>
  <si>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</si>
  <si>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</si>
  <si>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</si>
  <si>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</si>
  <si>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</si>
  <si>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</si>
  <si>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</si>
  <si>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</si>
  <si>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</si>
  <si>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</si>
  <si>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</si>
  <si>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</si>
  <si>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</si>
  <si>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</si>
  <si>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</si>
  <si>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</si>
  <si>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</si>
  <si>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</si>
  <si>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</si>
  <si>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</si>
  <si>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</si>
  <si>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</si>
  <si>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</si>
  <si>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</si>
  <si>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</si>
  <si>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</si>
  <si>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</si>
  <si>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</si>
  <si>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</si>
  <si>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</si>
  <si>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</si>
  <si>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</si>
  <si>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</si>
  <si>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</si>
  <si>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</si>
  <si>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</si>
  <si>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</si>
  <si>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</si>
  <si>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</si>
  <si>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</si>
  <si>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</si>
  <si>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</si>
  <si>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</si>
  <si>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</si>
  <si>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</si>
  <si>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</si>
  <si>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</si>
  <si>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</si>
  <si>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</si>
  <si>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</si>
  <si>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</si>
  <si>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</si>
  <si>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</si>
  <si>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</si>
  <si>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</si>
  <si>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</si>
  <si>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</si>
  <si>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</si>
  <si>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</si>
  <si>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</si>
  <si>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</si>
  <si>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</si>
  <si>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</si>
  <si>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</si>
  <si>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</si>
  <si>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</si>
  <si>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</si>
  <si>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</si>
  <si>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</si>
  <si>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</si>
  <si>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</si>
  <si>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</si>
  <si>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</si>
  <si>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</si>
  <si>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</si>
  <si>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</si>
  <si>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</si>
  <si>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</si>
  <si>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</si>
  <si>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</si>
  <si>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</si>
  <si>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</si>
  <si>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</si>
  <si>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</si>
  <si>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</si>
  <si>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</si>
  <si>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</si>
  <si>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</si>
  <si>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</si>
  <si>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</si>
  <si>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</si>
  <si>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</si>
  <si>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</si>
  <si>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</si>
  <si>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</si>
  <si>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</si>
  <si>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</si>
  <si>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</si>
  <si>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</si>
  <si>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</si>
  <si>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</si>
  <si>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</si>
  <si>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</si>
  <si>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</si>
  <si>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</si>
  <si>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</si>
  <si>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</si>
  <si>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</si>
  <si>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</si>
  <si>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</si>
  <si>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</si>
  <si>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</si>
  <si>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</si>
  <si>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</si>
  <si>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</si>
  <si>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</si>
  <si>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</si>
  <si>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</si>
  <si>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</si>
  <si>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</si>
  <si>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</si>
  <si>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</si>
  <si>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</si>
  <si>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</si>
  <si>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</si>
  <si>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</si>
  <si>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</si>
  <si>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</si>
  <si>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</si>
  <si>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</si>
  <si>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</si>
  <si>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</si>
  <si>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</si>
  <si>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</si>
  <si>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</si>
  <si>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</si>
  <si>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</si>
  <si>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</si>
  <si>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</si>
  <si>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</si>
  <si>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</si>
  <si>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</si>
  <si>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</si>
  <si>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</si>
  <si>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</si>
  <si>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</si>
  <si>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</si>
  <si>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</si>
  <si>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</si>
  <si>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</si>
  <si>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</si>
  <si>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</si>
  <si>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</si>
  <si>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</si>
  <si>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</si>
  <si>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</si>
  <si>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</si>
  <si>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</si>
  <si>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</si>
  <si>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</si>
  <si>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</si>
  <si>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</si>
  <si>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</si>
  <si>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</si>
  <si>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</si>
  <si>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</si>
  <si>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</si>
  <si>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</si>
  <si>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</si>
  <si>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</si>
  <si>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</si>
  <si>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</si>
  <si>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</si>
  <si>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</si>
  <si>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</si>
  <si>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</si>
  <si>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</si>
  <si>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</si>
  <si>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</si>
  <si>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</si>
  <si>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</si>
  <si>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</si>
  <si>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</si>
  <si>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</si>
  <si>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</si>
  <si>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</si>
  <si>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</si>
  <si>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</si>
  <si>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</si>
  <si>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</si>
  <si>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</si>
  <si>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</si>
  <si>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</si>
  <si>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</si>
  <si>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</si>
  <si>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</si>
  <si>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</si>
  <si>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</si>
  <si>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</si>
  <si>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</si>
  <si>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</si>
  <si>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</si>
  <si>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</si>
  <si>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</si>
  <si>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</si>
  <si>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</si>
  <si>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</si>
  <si>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</si>
  <si>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</si>
  <si>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</si>
  <si>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</si>
  <si>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</si>
  <si>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</si>
  <si>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</si>
  <si>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</si>
  <si>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</si>
  <si>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</si>
  <si>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Integration of Traffic Signals on Business 90, FM 1942, and FM 2100</t>
  </si>
  <si>
    <t>Business 90, FM 1942, FM 2100</t>
  </si>
  <si>
    <t xml:space="preserve">FM2100; Bohemian Hall Rd; Indian Shores </t>
  </si>
  <si>
    <t>Sheldon; US90; US90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</si>
</sst>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F22" sqref="F22"/>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284</v>
      </c>
      <c r="D10" s="64"/>
      <c r="E10" s="9"/>
      <c r="F10" t="s">
        <v>258</v>
      </c>
    </row>
    <row r="11" spans="2:19" x14ac:dyDescent="0.25">
      <c r="B11" s="4" t="s">
        <v>115</v>
      </c>
      <c r="C11" s="121" t="s">
        <v>283</v>
      </c>
      <c r="D11" s="64"/>
    </row>
    <row r="12" spans="2:19" x14ac:dyDescent="0.25">
      <c r="B12" s="4" t="s">
        <v>116</v>
      </c>
      <c r="C12" s="121">
        <v>12.5</v>
      </c>
      <c r="D12" s="95"/>
      <c r="N12" s="180"/>
      <c r="O12" s="180"/>
      <c r="P12" s="180"/>
      <c r="Q12" s="180"/>
      <c r="R12" s="180"/>
      <c r="S12" s="180"/>
    </row>
    <row r="13" spans="2:19" x14ac:dyDescent="0.25">
      <c r="B13" s="4" t="s">
        <v>77</v>
      </c>
      <c r="C13" s="121">
        <v>288</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2029</v>
      </c>
      <c r="D17" s="96"/>
    </row>
    <row r="18" spans="2:13" x14ac:dyDescent="0.25">
      <c r="B18" s="4" t="s">
        <v>259</v>
      </c>
      <c r="C18" s="120" t="s">
        <v>233</v>
      </c>
      <c r="D18" s="26"/>
    </row>
    <row r="19" spans="2:13" x14ac:dyDescent="0.25">
      <c r="B19" s="122" t="s">
        <v>251</v>
      </c>
      <c r="C19" s="174">
        <f>VLOOKUP(C18,'CRF Lookup Table'!C3:F84,2, FALSE)</f>
        <v>111</v>
      </c>
      <c r="D19" s="97"/>
    </row>
    <row r="20" spans="2:13" x14ac:dyDescent="0.25">
      <c r="B20" s="122" t="s">
        <v>102</v>
      </c>
      <c r="C20" s="175">
        <f>VLOOKUP(C18,'CRF Lookup Table'!C3:F84,3, FALSE)</f>
        <v>0.1</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16453</v>
      </c>
      <c r="D25" s="99"/>
      <c r="I25" s="49"/>
    </row>
    <row r="26" spans="2:13" x14ac:dyDescent="0.25">
      <c r="I26" s="49"/>
    </row>
    <row r="27" spans="2:13" x14ac:dyDescent="0.25">
      <c r="B27" s="86" t="s">
        <v>269</v>
      </c>
      <c r="C27" s="87">
        <v>8240</v>
      </c>
      <c r="D27" s="99"/>
      <c r="I27" s="49"/>
    </row>
    <row r="28" spans="2:13" x14ac:dyDescent="0.25">
      <c r="B28" s="86" t="s">
        <v>150</v>
      </c>
      <c r="C28" s="87">
        <v>13495</v>
      </c>
      <c r="D28" s="99"/>
      <c r="I28" s="49"/>
    </row>
    <row r="29" spans="2:13" x14ac:dyDescent="0.25">
      <c r="B29" s="86" t="s">
        <v>270</v>
      </c>
      <c r="C29" s="88">
        <v>12121</v>
      </c>
      <c r="D29" s="69"/>
      <c r="I29" s="49"/>
    </row>
    <row r="30" spans="2:13" x14ac:dyDescent="0.25">
      <c r="B30" s="86" t="s">
        <v>151</v>
      </c>
      <c r="C30" s="88">
        <v>21689</v>
      </c>
      <c r="D30" s="69"/>
      <c r="I30" s="49"/>
    </row>
    <row r="31" spans="2:13" x14ac:dyDescent="0.25">
      <c r="B31" s="86" t="s">
        <v>271</v>
      </c>
      <c r="C31" s="87">
        <v>16867</v>
      </c>
      <c r="D31" s="99"/>
      <c r="H31" s="70"/>
    </row>
    <row r="32" spans="2:13" x14ac:dyDescent="0.25">
      <c r="B32" s="86" t="s">
        <v>152</v>
      </c>
      <c r="C32" s="87">
        <v>21689</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17089.782268364066</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25855.694993830388</v>
      </c>
      <c r="G4" s="183" t="s">
        <v>260</v>
      </c>
      <c r="H4" s="183"/>
      <c r="I4" s="183"/>
      <c r="J4" s="183"/>
      <c r="L4" s="136"/>
      <c r="M4" s="137">
        <v>2018</v>
      </c>
      <c r="N4" s="138">
        <f>_2018_Volume_ADT</f>
        <v>16453</v>
      </c>
      <c r="O4" s="139" t="s">
        <v>85</v>
      </c>
      <c r="P4" s="140">
        <f>MIN(B12,1)</f>
        <v>0.6105965172286032</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323196.18742287986</v>
      </c>
      <c r="G5" s="184" t="s">
        <v>261</v>
      </c>
      <c r="H5" s="184"/>
      <c r="I5" s="184"/>
      <c r="J5" s="143">
        <f>SUMPRODUCT(Possible_Crash_Reductions,'Value of Statistical Life'!E5:E11)</f>
        <v>4479434.5842354791</v>
      </c>
      <c r="L5" s="136"/>
      <c r="M5" s="144">
        <f t="shared" ref="M5:M36" si="1">M4+1</f>
        <v>2019</v>
      </c>
      <c r="N5" s="145">
        <f>N4+(N4*O5)</f>
        <v>17385.595081796055</v>
      </c>
      <c r="O5" s="146">
        <f t="shared" ref="O5:O11" si="2">IF(ISERROR(_2025_2045_Demand_Growth),_2018_2045_Demand_Growth,_2018_2025_Demand_Growth)</f>
        <v>5.6682372928709368E-2</v>
      </c>
      <c r="P5" s="147">
        <f t="shared" ref="P5:P11" si="3">P4*(1+IFERROR(_2018_2025_V_C_Growth,_2018_2045_V_C_Growth))</f>
        <v>0.60292139342682116</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84031008.729948759</v>
      </c>
      <c r="L6" s="136"/>
      <c r="M6" s="137">
        <f t="shared" si="1"/>
        <v>2020</v>
      </c>
      <c r="N6" s="145">
        <f t="shared" ref="N6:N36" si="6">N5+(N5*O6)</f>
        <v>18371.051865809954</v>
      </c>
      <c r="O6" s="146">
        <f t="shared" si="2"/>
        <v>5.6682372928709368E-2</v>
      </c>
      <c r="P6" s="147">
        <f t="shared" si="3"/>
        <v>0.59534274499577999</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19412.366678760456</v>
      </c>
      <c r="O7" s="146">
        <f t="shared" si="2"/>
        <v>5.6682372928709368E-2</v>
      </c>
      <c r="P7" s="147">
        <f t="shared" si="3"/>
        <v>0.58785935925182786</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20512.705686274807</v>
      </c>
      <c r="O8" s="146">
        <f t="shared" si="2"/>
        <v>5.6682372928709368E-2</v>
      </c>
      <c r="P8" s="147">
        <f t="shared" si="3"/>
        <v>0.58047003875459879</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5.6682372928709368E-2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21675.414519761092</v>
      </c>
      <c r="O9" s="146">
        <f t="shared" si="2"/>
        <v>5.6682372928709368E-2</v>
      </c>
      <c r="P9" s="147">
        <f t="shared" si="3"/>
        <v>0.57317360111540616</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1.6658204261519982E-2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22904.028448954552</v>
      </c>
      <c r="O10" s="146">
        <f t="shared" si="2"/>
        <v>5.6682372928709368E-2</v>
      </c>
      <c r="P10" s="147">
        <f t="shared" si="3"/>
        <v>0.56596887880804503</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2.6886905790913129E-2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24202.283131067961</v>
      </c>
      <c r="O11" s="146">
        <f t="shared" si="2"/>
        <v>5.6682372928709368E-2</v>
      </c>
      <c r="P11" s="147">
        <f t="shared" si="3"/>
        <v>0.55885471898197259</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0.6105965172286032</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24605.44970706043</v>
      </c>
      <c r="O12" s="146">
        <f t="shared" ref="O12:O36" si="7">IFERROR(_2025_2045_Demand_Growth,_2018_2045_Demand_Growth)</f>
        <v>1.6658204261519982E-2</v>
      </c>
      <c r="P12" s="147">
        <f t="shared" ref="P12:P36" si="8">P11*(1+IFERROR(_2025_2040_V_C_Growth,_2018_2045_V_C_Growth))</f>
        <v>0.56816423504328861</v>
      </c>
      <c r="Q12" s="148">
        <f t="shared" si="4"/>
        <v>1</v>
      </c>
      <c r="R12" s="37">
        <f>IF(M12=Year_Open_to_Traffic?,Calculations!$J$5,Calculations!R11+(Calculations!R11*Calculations!O12*Q12))</f>
        <v>0</v>
      </c>
      <c r="S12" s="54">
        <f t="shared" si="0"/>
        <v>0</v>
      </c>
      <c r="T12" s="37">
        <f t="shared" si="5"/>
        <v>0</v>
      </c>
      <c r="U12" s="142">
        <f>T12/(1+Real_Discount_Rate)^(Calculations!M12-'Assumed Values'!$C$5)</f>
        <v>0</v>
      </c>
    </row>
    <row r="13" spans="1:21" ht="15.75" x14ac:dyDescent="0.25">
      <c r="A13" s="152" t="s">
        <v>74</v>
      </c>
      <c r="B13" s="156">
        <f>_2025_Peak_Period_Volume/_2025_Peak_Period_Capacity</f>
        <v>0.55885471898197248</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25015.332314227198</v>
      </c>
      <c r="O13" s="146">
        <f t="shared" si="7"/>
        <v>1.6658204261519982E-2</v>
      </c>
      <c r="P13" s="147">
        <f t="shared" si="8"/>
        <v>0.57762883092472994</v>
      </c>
      <c r="Q13" s="148">
        <f t="shared" si="4"/>
        <v>1</v>
      </c>
      <c r="R13" s="37">
        <f>IF(M13=Year_Open_to_Traffic?,Calculations!$J$5,Calculations!R12+(Calculations!R12*Calculations!O13*Q13))</f>
        <v>0</v>
      </c>
      <c r="S13" s="54">
        <f t="shared" si="0"/>
        <v>0</v>
      </c>
      <c r="T13" s="37">
        <f t="shared" si="5"/>
        <v>0</v>
      </c>
      <c r="U13" s="142">
        <f>T13/(1+Real_Discount_Rate)^(Calculations!M13-'Assumed Values'!$C$5)</f>
        <v>0</v>
      </c>
    </row>
    <row r="14" spans="1:21" ht="15.75" x14ac:dyDescent="0.25">
      <c r="A14" s="152" t="s">
        <v>148</v>
      </c>
      <c r="B14" s="156">
        <f>_2045_Peak_Period_Volume/_2045_Peak_Period_Capacity</f>
        <v>0.7776753192862742</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25432.042829587397</v>
      </c>
      <c r="O14" s="146">
        <f t="shared" si="7"/>
        <v>1.6658204261519982E-2</v>
      </c>
      <c r="P14" s="147">
        <f>P13*(1+IFERROR(_2025_2040_V_C_Growth,_2018_2045_V_C_Growth))</f>
        <v>0.5872510899776171</v>
      </c>
      <c r="Q14" s="148">
        <f t="shared" si="4"/>
        <v>1</v>
      </c>
      <c r="R14" s="37">
        <f>IF(M14=Year_Open_to_Traffic?,Calculations!$J$5,Calculations!R13+(Calculations!R13*Calculations!O14*Q14))</f>
        <v>0</v>
      </c>
      <c r="S14" s="54">
        <f t="shared" si="0"/>
        <v>0</v>
      </c>
      <c r="T14" s="37">
        <f t="shared" si="5"/>
        <v>0</v>
      </c>
      <c r="U14" s="142">
        <f>T14/(1+Real_Discount_Rate)^(Calculations!M14-'Assumed Values'!$C$5)</f>
        <v>0</v>
      </c>
    </row>
    <row r="15" spans="1:21" ht="15.75" x14ac:dyDescent="0.25">
      <c r="A15" s="152" t="s">
        <v>80</v>
      </c>
      <c r="B15" s="153">
        <f>(B13/B12)^(1/(2025-2018))-1</f>
        <v>-1.2569878119544686E-2</v>
      </c>
      <c r="L15" s="136"/>
      <c r="M15" s="144">
        <f>M14+1</f>
        <v>2029</v>
      </c>
      <c r="N15" s="145">
        <f t="shared" si="6"/>
        <v>25855.694993830388</v>
      </c>
      <c r="O15" s="146">
        <f t="shared" si="7"/>
        <v>1.6658204261519982E-2</v>
      </c>
      <c r="P15" s="147">
        <f>P14*(1+IFERROR(_2025_2040_V_C_Growth,_2018_2045_V_C_Growth))</f>
        <v>0.59703363858726455</v>
      </c>
      <c r="Q15" s="148">
        <f t="shared" si="4"/>
        <v>1</v>
      </c>
      <c r="R15" s="37">
        <f>IF(M15=Year_Open_to_Traffic?,Calculations!$J$5,Calculations!R14+(Calculations!R14*Calculations!O15*Q15))</f>
        <v>4479434.5842354791</v>
      </c>
      <c r="S15" s="54">
        <f t="shared" si="0"/>
        <v>1</v>
      </c>
      <c r="T15" s="37">
        <f t="shared" si="5"/>
        <v>4479.4345842354787</v>
      </c>
      <c r="U15" s="142">
        <f>T15/(1+Real_Discount_Rate)^(Calculations!M15-'Assumed Values'!$C$5)</f>
        <v>2128.1471028597002</v>
      </c>
    </row>
    <row r="16" spans="1:21" ht="15.75" x14ac:dyDescent="0.25">
      <c r="A16" s="152" t="s">
        <v>108</v>
      </c>
      <c r="B16" s="153">
        <f>(B14/B13)^(1/(2045-2025))-1</f>
        <v>1.6658204261519982E-2</v>
      </c>
      <c r="D16" s="157" t="s">
        <v>136</v>
      </c>
      <c r="E16" s="151"/>
      <c r="L16" s="136"/>
      <c r="M16" s="137">
        <f t="shared" si="1"/>
        <v>2030</v>
      </c>
      <c r="N16" s="145">
        <f t="shared" si="6"/>
        <v>26286.404442361174</v>
      </c>
      <c r="O16" s="146">
        <f t="shared" si="7"/>
        <v>1.6658204261519982E-2</v>
      </c>
      <c r="P16" s="147">
        <f t="shared" si="8"/>
        <v>0.60697914688984966</v>
      </c>
      <c r="Q16" s="148">
        <f t="shared" si="4"/>
        <v>1</v>
      </c>
      <c r="R16" s="37">
        <f>IF(M16=Year_Open_to_Traffic?,Calculations!$J$5,Calculations!R15+(Calculations!R15*Calculations!O16*Q16))</f>
        <v>4554053.9205157906</v>
      </c>
      <c r="S16" s="54">
        <f t="shared" si="0"/>
        <v>1</v>
      </c>
      <c r="T16" s="37">
        <f t="shared" si="5"/>
        <v>4554.0539205157902</v>
      </c>
      <c r="U16" s="142">
        <f>T16/(1+Real_Discount_Rate)^(Calculations!M16-'Assumed Values'!$C$5)</f>
        <v>2022.0544037361678</v>
      </c>
    </row>
    <row r="17" spans="1:21" ht="15.75" x14ac:dyDescent="0.25">
      <c r="A17" s="152" t="s">
        <v>109</v>
      </c>
      <c r="B17" s="153">
        <f>(B14/B12)^(1/(2045-2018))-1</f>
        <v>8.9984945811296679E-3</v>
      </c>
      <c r="D17" s="152" t="s">
        <v>89</v>
      </c>
      <c r="E17" s="158">
        <f>($E$6*Death_Rate)/100000000</f>
        <v>1.4668235705579098</v>
      </c>
      <c r="L17" s="136"/>
      <c r="M17" s="144">
        <f t="shared" si="1"/>
        <v>2031</v>
      </c>
      <c r="N17" s="145">
        <f t="shared" si="6"/>
        <v>26724.288736862953</v>
      </c>
      <c r="O17" s="146">
        <f t="shared" si="7"/>
        <v>1.6658204261519982E-2</v>
      </c>
      <c r="P17" s="147">
        <f t="shared" si="8"/>
        <v>0.61709032950122389</v>
      </c>
      <c r="Q17" s="148">
        <f t="shared" si="4"/>
        <v>1</v>
      </c>
      <c r="R17" s="37">
        <f>IF(M17=Year_Open_to_Traffic?,Calculations!$J$5,Calculations!R16+(Calculations!R16*Calculations!O17*Q17))</f>
        <v>4629916.2809417183</v>
      </c>
      <c r="S17" s="54">
        <f t="shared" si="0"/>
        <v>1</v>
      </c>
      <c r="T17" s="37">
        <f t="shared" si="5"/>
        <v>4629.9162809417185</v>
      </c>
      <c r="U17" s="142">
        <f>T17/(1+Real_Discount_Rate)^(Calculations!M17-'Assumed Values'!$C$5)</f>
        <v>1921.2506532911316</v>
      </c>
    </row>
    <row r="18" spans="1:21" ht="15.75" x14ac:dyDescent="0.25">
      <c r="D18" s="152" t="s">
        <v>94</v>
      </c>
      <c r="E18" s="158">
        <f>($E$6*Incap_Injry_Rate)/100000000</f>
        <v>7.4145565647233722</v>
      </c>
      <c r="L18" s="136"/>
      <c r="M18" s="137">
        <f t="shared" si="1"/>
        <v>2032</v>
      </c>
      <c r="N18" s="145">
        <f t="shared" si="6"/>
        <v>27169.467397385455</v>
      </c>
      <c r="O18" s="146">
        <f t="shared" si="7"/>
        <v>1.6658204261519982E-2</v>
      </c>
      <c r="P18" s="147">
        <f t="shared" si="8"/>
        <v>0.62736994625786391</v>
      </c>
      <c r="Q18" s="148">
        <f t="shared" si="4"/>
        <v>1</v>
      </c>
      <c r="R18" s="37">
        <f>IF(M18=Year_Open_to_Traffic?,Calculations!$J$5,Calculations!R17+(Calculations!R17*Calculations!O18*Q18))</f>
        <v>4707042.3720633825</v>
      </c>
      <c r="S18" s="54">
        <f t="shared" si="0"/>
        <v>1</v>
      </c>
      <c r="T18" s="37">
        <f t="shared" si="5"/>
        <v>4707.0423720633826</v>
      </c>
      <c r="U18" s="142">
        <f>T18/(1+Real_Discount_Rate)^(Calculations!M18-'Assumed Values'!$C$5)</f>
        <v>1825.4721860852655</v>
      </c>
    </row>
    <row r="19" spans="1:21" ht="15.75" x14ac:dyDescent="0.25">
      <c r="D19" s="152" t="s">
        <v>93</v>
      </c>
      <c r="E19" s="158">
        <f>($E$6*Nonincap_Injry_Rate)/100000000</f>
        <v>41.832861894524136</v>
      </c>
      <c r="L19" s="136"/>
      <c r="M19" s="144">
        <f t="shared" si="1"/>
        <v>2033</v>
      </c>
      <c r="N19" s="145">
        <f t="shared" si="6"/>
        <v>27622.061934967809</v>
      </c>
      <c r="O19" s="146">
        <f t="shared" si="7"/>
        <v>1.6658204261519982E-2</v>
      </c>
      <c r="P19" s="147">
        <f t="shared" si="8"/>
        <v>0.63782080297016619</v>
      </c>
      <c r="Q19" s="148">
        <f t="shared" si="4"/>
        <v>1</v>
      </c>
      <c r="R19" s="37">
        <f>IF(M19=Year_Open_to_Traffic?,Calculations!$J$5,Calculations!R18+(Calculations!R18*Calculations!O19*Q19))</f>
        <v>4785453.2453648439</v>
      </c>
      <c r="S19" s="54">
        <f t="shared" si="0"/>
        <v>1</v>
      </c>
      <c r="T19" s="37">
        <f t="shared" si="5"/>
        <v>4785.4532453648435</v>
      </c>
      <c r="U19" s="142">
        <f>T19/(1+Real_Discount_Rate)^(Calculations!M19-'Assumed Values'!$C$5)</f>
        <v>1734.4684809670998</v>
      </c>
    </row>
    <row r="20" spans="1:21" ht="15.75" x14ac:dyDescent="0.25">
      <c r="D20" s="152" t="s">
        <v>92</v>
      </c>
      <c r="E20" s="158">
        <f>($E$6*Poss_Injry_Rate/100000000)</f>
        <v>104.43310653478592</v>
      </c>
      <c r="L20" s="136"/>
      <c r="M20" s="137">
        <f t="shared" si="1"/>
        <v>2034</v>
      </c>
      <c r="N20" s="145">
        <f t="shared" si="6"/>
        <v>28082.19588480486</v>
      </c>
      <c r="O20" s="146">
        <f t="shared" si="7"/>
        <v>1.6658204261519982E-2</v>
      </c>
      <c r="P20" s="147">
        <f t="shared" si="8"/>
        <v>0.64844575218828993</v>
      </c>
      <c r="Q20" s="148">
        <f t="shared" si="4"/>
        <v>1</v>
      </c>
      <c r="R20" s="37">
        <f>IF(M20=Year_Open_to_Traffic?,Calculations!$J$5,Calculations!R19+(Calculations!R19*Calculations!O20*Q20))</f>
        <v>4865170.3030100856</v>
      </c>
      <c r="S20" s="54">
        <f t="shared" si="0"/>
        <v>1</v>
      </c>
      <c r="T20" s="37">
        <f t="shared" si="5"/>
        <v>4865.1703030100853</v>
      </c>
      <c r="U20" s="142">
        <f>T20/(1+Real_Discount_Rate)^(Calculations!M20-'Assumed Values'!$C$5)</f>
        <v>1648.0015058020733</v>
      </c>
    </row>
    <row r="21" spans="1:21" ht="15.75" x14ac:dyDescent="0.25">
      <c r="D21" s="152" t="s">
        <v>91</v>
      </c>
      <c r="E21" s="158">
        <f>($E$6*Non_Injry_Rate)/100000000</f>
        <v>809.77178134883741</v>
      </c>
      <c r="L21" s="136"/>
      <c r="M21" s="144">
        <f>M20+1</f>
        <v>2035</v>
      </c>
      <c r="N21" s="145">
        <f t="shared" si="6"/>
        <v>28549.994839965955</v>
      </c>
      <c r="O21" s="146">
        <f t="shared" si="7"/>
        <v>1.6658204261519982E-2</v>
      </c>
      <c r="P21" s="147">
        <f>P20*(1+IFERROR(_2025_2040_V_C_Growth,_2018_2045_V_C_Growth))</f>
        <v>0.65924769398075744</v>
      </c>
      <c r="Q21" s="148">
        <f t="shared" si="4"/>
        <v>1</v>
      </c>
      <c r="R21" s="37">
        <f>IF(M21=Year_Open_to_Traffic?,Calculations!$J$5,Calculations!R20+(Calculations!R20*Calculations!O21*Q21))</f>
        <v>4946215.3036847087</v>
      </c>
      <c r="S21" s="54">
        <f t="shared" si="0"/>
        <v>1</v>
      </c>
      <c r="T21" s="37">
        <f t="shared" si="5"/>
        <v>4946.2153036847085</v>
      </c>
      <c r="U21" s="142">
        <f>T21/(1+Real_Discount_Rate)^(Calculations!M21-'Assumed Values'!$C$5)</f>
        <v>1565.84509486824</v>
      </c>
    </row>
    <row r="22" spans="1:21" ht="15.75" x14ac:dyDescent="0.25">
      <c r="D22" s="152" t="s">
        <v>90</v>
      </c>
      <c r="E22" s="158">
        <f>($E$6*Unkn_Injry_Rate)/100000000</f>
        <v>70.26558071866117</v>
      </c>
      <c r="L22" s="136"/>
      <c r="M22" s="137">
        <f>M21+1</f>
        <v>2036</v>
      </c>
      <c r="N22" s="145">
        <f t="shared" si="6"/>
        <v>29025.586485675449</v>
      </c>
      <c r="O22" s="146">
        <f t="shared" si="7"/>
        <v>1.6658204261519982E-2</v>
      </c>
      <c r="P22" s="147">
        <f t="shared" si="8"/>
        <v>0.6702295767260249</v>
      </c>
      <c r="Q22" s="148">
        <f t="shared" si="4"/>
        <v>1</v>
      </c>
      <c r="R22" s="37">
        <f>IF(M22=Year_Open_to_Traffic?,Calculations!$J$5,Calculations!R21+(Calculations!R21*Calculations!O22*Q22))</f>
        <v>5028610.368534945</v>
      </c>
      <c r="S22" s="54">
        <f t="shared" si="0"/>
        <v>1</v>
      </c>
      <c r="T22" s="37">
        <f t="shared" si="5"/>
        <v>5028.6103685349453</v>
      </c>
      <c r="U22" s="142">
        <f>T22/(1+Real_Discount_Rate)^(Calculations!M22-'Assumed Values'!$C$5)</f>
        <v>1487.7843572901445</v>
      </c>
    </row>
    <row r="23" spans="1:21" ht="15.75" x14ac:dyDescent="0.25">
      <c r="L23" s="136"/>
      <c r="M23" s="144">
        <f t="shared" si="1"/>
        <v>2037</v>
      </c>
      <c r="N23" s="145">
        <f t="shared" si="6"/>
        <v>29509.100634164246</v>
      </c>
      <c r="O23" s="146">
        <f t="shared" si="7"/>
        <v>1.6658204261519982E-2</v>
      </c>
      <c r="P23" s="147">
        <f t="shared" si="8"/>
        <v>0.6813943979172391</v>
      </c>
      <c r="Q23" s="148">
        <f t="shared" si="4"/>
        <v>1</v>
      </c>
      <c r="R23" s="37">
        <f>IF(M23=Year_Open_to_Traffic?,Calculations!$J$5,Calculations!R22+(Calculations!R22*Calculations!O23*Q23))</f>
        <v>5112377.9872055976</v>
      </c>
      <c r="S23" s="54">
        <f t="shared" si="0"/>
        <v>1</v>
      </c>
      <c r="T23" s="37">
        <f t="shared" si="5"/>
        <v>5112.3779872055975</v>
      </c>
      <c r="U23" s="142">
        <f>T23/(1+Real_Discount_Rate)^(Calculations!M23-'Assumed Values'!$C$5)</f>
        <v>1413.6151149635307</v>
      </c>
    </row>
    <row r="24" spans="1:21" ht="15.75" x14ac:dyDescent="0.25">
      <c r="L24" s="136"/>
      <c r="M24" s="137">
        <f t="shared" si="1"/>
        <v>2038</v>
      </c>
      <c r="N24" s="145">
        <f t="shared" si="6"/>
        <v>30000.669260101902</v>
      </c>
      <c r="O24" s="146">
        <f t="shared" si="7"/>
        <v>1.6658204261519982E-2</v>
      </c>
      <c r="P24" s="147">
        <f t="shared" si="8"/>
        <v>0.69274520498039993</v>
      </c>
      <c r="Q24" s="148">
        <f t="shared" si="4"/>
        <v>1</v>
      </c>
      <c r="R24" s="37">
        <f>IF(M24=Year_Open_to_Traffic?,Calculations!$J$5,Calculations!R23+(Calculations!R23*Calculations!O24*Q24))</f>
        <v>5197541.0239785668</v>
      </c>
      <c r="S24" s="54">
        <f t="shared" si="0"/>
        <v>1</v>
      </c>
      <c r="T24" s="37">
        <f t="shared" si="5"/>
        <v>5197.541023978567</v>
      </c>
      <c r="U24" s="142">
        <f>T24/(1+Real_Discount_Rate)^(Calculations!M24-'Assumed Values'!$C$5)</f>
        <v>1343.1433685007153</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30500.426536618983</v>
      </c>
      <c r="O25" s="146">
        <f t="shared" si="7"/>
        <v>1.6658204261519982E-2</v>
      </c>
      <c r="P25" s="147">
        <f t="shared" si="8"/>
        <v>0.70428509610615198</v>
      </c>
      <c r="Q25" s="148">
        <f t="shared" si="4"/>
        <v>1</v>
      </c>
      <c r="R25" s="37">
        <f>IF(M25=Year_Open_to_Traffic?,Calculations!$J$5,Calculations!R24+(Calculations!R24*Calculations!O25*Q25))</f>
        <v>5284122.7240136312</v>
      </c>
      <c r="S25" s="54">
        <f t="shared" si="0"/>
        <v>0</v>
      </c>
      <c r="T25" s="37">
        <f t="shared" si="5"/>
        <v>0</v>
      </c>
      <c r="U25" s="142">
        <f>T25/(1+Real_Discount_Rate)^(Calculations!M25-'Assumed Values'!$C$5)</f>
        <v>0</v>
      </c>
    </row>
    <row r="26" spans="1:21" ht="15.75" x14ac:dyDescent="0.25">
      <c r="A26" s="181"/>
      <c r="B26" s="181"/>
      <c r="D26" s="160">
        <f>Calculations!E17</f>
        <v>1.4668235705579098</v>
      </c>
      <c r="E26" s="160">
        <f>Calculations!E18</f>
        <v>7.4145565647233722</v>
      </c>
      <c r="F26" s="160">
        <f>Calculations!E19</f>
        <v>41.832861894524136</v>
      </c>
      <c r="G26" s="160">
        <f>Calculations!E20</f>
        <v>104.43310653478592</v>
      </c>
      <c r="H26" s="160">
        <f>Calculations!E21</f>
        <v>809.77178134883741</v>
      </c>
      <c r="I26" s="160">
        <f>Calculations!E22</f>
        <v>70.26558071866117</v>
      </c>
      <c r="J26" s="182"/>
      <c r="L26" s="136"/>
      <c r="M26" s="137">
        <f t="shared" si="1"/>
        <v>2040</v>
      </c>
      <c r="N26" s="145">
        <f t="shared" si="6"/>
        <v>31008.508871929465</v>
      </c>
      <c r="O26" s="146">
        <f t="shared" si="7"/>
        <v>1.6658204261519982E-2</v>
      </c>
      <c r="P26" s="147">
        <f t="shared" si="8"/>
        <v>0.71601722109543253</v>
      </c>
      <c r="Q26" s="148">
        <f t="shared" si="4"/>
        <v>1</v>
      </c>
      <c r="R26" s="37">
        <f>IF(M26=Year_Open_to_Traffic?,Calculations!$J$5,Calculations!R25+(Calculations!R25*Calculations!O26*Q26))</f>
        <v>5372146.7196931895</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2.5483830912954232E-2</v>
      </c>
      <c r="F27" s="163">
        <f>F$26*'Value of Statistical Life'!F17*Appropriate_Crash_Reduction_Factor</f>
        <v>0.34917889823359299</v>
      </c>
      <c r="G27" s="163">
        <f>G$26*'Value of Statistical Life'!G17*Appropriate_Crash_Reduction_Factor</f>
        <v>2.4475987178557777</v>
      </c>
      <c r="H27" s="163">
        <f>H$26*'Value of Statistical Life'!H17*Appropriate_Crash_Reduction_Factor</f>
        <v>74.931422015333325</v>
      </c>
      <c r="I27" s="163">
        <f>I$26*'Value of Statistical Life'!I17*Appropriate_Crash_Reduction_Factor</f>
        <v>3.0689195034682455</v>
      </c>
      <c r="J27" s="163">
        <f t="shared" ref="J27:J33" si="9">SUM(D27:I27)</f>
        <v>80.822602965803895</v>
      </c>
      <c r="K27" s="164"/>
      <c r="L27" s="136"/>
      <c r="M27" s="144">
        <f t="shared" si="1"/>
        <v>2041</v>
      </c>
      <c r="N27" s="145">
        <f t="shared" si="6"/>
        <v>31525.054946563221</v>
      </c>
      <c r="O27" s="146">
        <f t="shared" si="7"/>
        <v>1.6658204261519982E-2</v>
      </c>
      <c r="P27" s="147">
        <f t="shared" si="8"/>
        <v>0.72794478221920611</v>
      </c>
      <c r="Q27" s="148">
        <f t="shared" si="4"/>
        <v>1</v>
      </c>
      <c r="R27" s="37">
        <f>IF(M27=Year_Open_to_Traffic?,Calculations!$J$5,Calculations!R26+(Calculations!R26*Calculations!O27*Q27))</f>
        <v>5461637.037072693</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0.41112974695734633</v>
      </c>
      <c r="F28" s="163">
        <f>F$26*'Value of Statistical Life'!F18*Appropriate_Crash_Reduction_Factor</f>
        <v>3.2145626065609179</v>
      </c>
      <c r="G28" s="163">
        <f>G$26*'Value of Statistical Life'!G18*Appropriate_Crash_Reduction_Factor</f>
        <v>7.20024496314735</v>
      </c>
      <c r="H28" s="163">
        <f>H$26*'Value of Statistical Life'!H18*Appropriate_Crash_Reduction_Factor</f>
        <v>5.8765138172485134</v>
      </c>
      <c r="I28" s="163">
        <f>I$26*'Value of Statistical Life'!I18*Appropriate_Crash_Reduction_Factor</f>
        <v>2.9328150736161986</v>
      </c>
      <c r="J28" s="163">
        <f t="shared" si="9"/>
        <v>19.635266207530325</v>
      </c>
      <c r="K28" s="164"/>
      <c r="L28" s="136"/>
      <c r="M28" s="137">
        <f t="shared" si="1"/>
        <v>2042</v>
      </c>
      <c r="N28" s="145">
        <f t="shared" si="6"/>
        <v>32050.205751218713</v>
      </c>
      <c r="O28" s="146">
        <f t="shared" si="7"/>
        <v>1.6658204261519982E-2</v>
      </c>
      <c r="P28" s="147">
        <f t="shared" si="8"/>
        <v>0.74007103509252137</v>
      </c>
      <c r="Q28" s="148">
        <f t="shared" si="4"/>
        <v>1</v>
      </c>
      <c r="R28" s="37">
        <f>IF(M28=Year_Open_to_Traffic?,Calculations!$J$5,Calculations!R27+(Calculations!R27*Calculations!O28*Q28))</f>
        <v>5552618.1024385327</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0.15502354865523627</v>
      </c>
      <c r="F29" s="163">
        <f>F$26*'Value of Statistical Life'!F19*Appropriate_Crash_Reduction_Factor</f>
        <v>0.45589452892652399</v>
      </c>
      <c r="G29" s="163">
        <f>G$26*'Value of Statistical Life'!G19*Appropriate_Crash_Reduction_Factor</f>
        <v>0.66743198386381675</v>
      </c>
      <c r="H29" s="163">
        <f>H$26*'Value of Statistical Life'!H19*Appropriate_Crash_Reduction_Factor</f>
        <v>0.16033481270706981</v>
      </c>
      <c r="I29" s="163">
        <f>I$26*'Value of Statistical Life'!I19*Appropriate_Crash_Reduction_Factor</f>
        <v>0.62339623213596196</v>
      </c>
      <c r="J29" s="163">
        <f t="shared" si="9"/>
        <v>2.0620811062886086</v>
      </c>
      <c r="K29" s="164"/>
      <c r="L29" s="136"/>
      <c r="M29" s="144">
        <f t="shared" si="1"/>
        <v>2043</v>
      </c>
      <c r="N29" s="145">
        <f t="shared" si="6"/>
        <v>32584.104625246258</v>
      </c>
      <c r="O29" s="146">
        <f t="shared" si="7"/>
        <v>1.6658204261519982E-2</v>
      </c>
      <c r="P29" s="147">
        <f t="shared" si="8"/>
        <v>0.75239928956312707</v>
      </c>
      <c r="Q29" s="148">
        <f t="shared" si="4"/>
        <v>1</v>
      </c>
      <c r="R29" s="37">
        <f>IF(M29=Year_Open_to_Traffic?,Calculations!$J$5,Calculations!R28+(Calculations!R28*Calculations!O29*Q29))</f>
        <v>5645114.7489751671</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0.10704395312491133</v>
      </c>
      <c r="F30" s="163">
        <f>F$26*'Value of Statistical Life'!F20*Appropriate_Crash_Reduction_Factor</f>
        <v>0.13348866230542653</v>
      </c>
      <c r="G30" s="163">
        <f>G$26*'Value of Statistical Life'!G20*Appropriate_Crash_Reduction_Factor</f>
        <v>0.11184785709875573</v>
      </c>
      <c r="H30" s="163">
        <f>H$26*'Value of Statistical Life'!H20*Appropriate_Crash_Reduction_Factor</f>
        <v>6.4781742507907004E-3</v>
      </c>
      <c r="I30" s="163">
        <f>I$26*'Value of Statistical Life'!I20*Appropriate_Crash_Reduction_Factor</f>
        <v>0.33846930232179084</v>
      </c>
      <c r="J30" s="163">
        <f t="shared" si="9"/>
        <v>0.69732794910167517</v>
      </c>
      <c r="K30" s="164"/>
      <c r="L30" s="136"/>
      <c r="M30" s="144">
        <f t="shared" si="1"/>
        <v>2044</v>
      </c>
      <c r="N30" s="145">
        <f t="shared" si="6"/>
        <v>33126.897295772345</v>
      </c>
      <c r="O30" s="146">
        <f t="shared" si="7"/>
        <v>1.6658204261519982E-2</v>
      </c>
      <c r="P30" s="147">
        <f t="shared" si="8"/>
        <v>0.76493291061489221</v>
      </c>
      <c r="Q30" s="148">
        <f t="shared" si="4"/>
        <v>1</v>
      </c>
      <c r="R30" s="37">
        <f>IF(M30=Year_Open_to_Traffic?,Calculations!$J$5,Calculations!R29+(Calculations!R29*Calculations!O30*Q30))</f>
        <v>5739152.2235433143</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2.9554422466987362E-2</v>
      </c>
      <c r="F31" s="163">
        <f>F$26*'Value of Statistical Life'!F21*Appropriate_Crash_Reduction_Factor</f>
        <v>2.5936374374604967E-2</v>
      </c>
      <c r="G31" s="163">
        <f>G$26*'Value of Statistical Life'!G21*Appropriate_Crash_Reduction_Factor</f>
        <v>1.4829501127939602E-2</v>
      </c>
      <c r="H31" s="163">
        <f>H$26*'Value of Statistical Life'!H21*Appropriate_Crash_Reduction_Factor</f>
        <v>0</v>
      </c>
      <c r="I31" s="163">
        <f>I$26*'Value of Statistical Life'!I21*Appropriate_Crash_Reduction_Factor</f>
        <v>4.3353863303413946E-2</v>
      </c>
      <c r="J31" s="163">
        <f t="shared" si="9"/>
        <v>0.11367416127294588</v>
      </c>
      <c r="K31" s="164"/>
      <c r="L31" s="136"/>
      <c r="M31" s="144">
        <f t="shared" si="1"/>
        <v>2045</v>
      </c>
      <c r="N31" s="145">
        <f t="shared" si="6"/>
        <v>33678.731917475714</v>
      </c>
      <c r="O31" s="146">
        <f t="shared" si="7"/>
        <v>1.6658204261519982E-2</v>
      </c>
      <c r="P31" s="147">
        <f t="shared" si="8"/>
        <v>0.77767531928627409</v>
      </c>
      <c r="Q31" s="148">
        <f t="shared" si="4"/>
        <v>1</v>
      </c>
      <c r="R31" s="37">
        <f>IF(M31=Year_Open_to_Traffic?,Calculations!$J$5,Calculations!R30+(Calculations!R30*Calculations!O31*Q31))</f>
        <v>5834756.1935710553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1.3220154354901772E-2</v>
      </c>
      <c r="F32" s="163">
        <f>F$26*'Value of Statistical Life'!F22*Appropriate_Crash_Reduction_Factor</f>
        <v>4.2251190513469383E-3</v>
      </c>
      <c r="G32" s="163">
        <f>G$26*'Value of Statistical Life'!G22*Appropriate_Crash_Reduction_Factor</f>
        <v>1.3576303849522171E-3</v>
      </c>
      <c r="H32" s="163">
        <f>H$26*'Value of Statistical Life'!H22*Appropriate_Crash_Reduction_Factor</f>
        <v>2.4293153440465127E-3</v>
      </c>
      <c r="I32" s="163">
        <f>I$26*'Value of Statistical Life'!I22*Appropriate_Crash_Reduction_Factor</f>
        <v>1.9604097020506469E-2</v>
      </c>
      <c r="J32" s="163">
        <f t="shared" si="9"/>
        <v>4.0836316155753907E-2</v>
      </c>
      <c r="K32" s="164"/>
      <c r="L32" s="136"/>
      <c r="M32" s="144">
        <f t="shared" si="1"/>
        <v>2046</v>
      </c>
      <c r="N32" s="145">
        <f t="shared" si="6"/>
        <v>34239.759113025997</v>
      </c>
      <c r="O32" s="146">
        <f t="shared" si="7"/>
        <v>1.6658204261519982E-2</v>
      </c>
      <c r="P32" s="147">
        <f t="shared" si="8"/>
        <v>0.79062999360408759</v>
      </c>
      <c r="Q32" s="148">
        <f t="shared" si="4"/>
        <v>1</v>
      </c>
      <c r="R32" s="37">
        <f>IF(M32=Year_Open_to_Traffic?,Calculations!$J$5,Calculations!R31+(Calculations!R31*Calculations!O32*Q32))</f>
        <v>5931952.754059731</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0.146682357055791</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0.146682357055791</v>
      </c>
      <c r="K33" s="164"/>
      <c r="L33" s="136"/>
      <c r="M33" s="144">
        <f t="shared" si="1"/>
        <v>2047</v>
      </c>
      <c r="N33" s="145">
        <f t="shared" si="6"/>
        <v>34810.132014196024</v>
      </c>
      <c r="O33" s="146">
        <f t="shared" si="7"/>
        <v>1.6658204261519982E-2</v>
      </c>
      <c r="P33" s="147">
        <f t="shared" si="8"/>
        <v>0.80380046953282869</v>
      </c>
      <c r="Q33" s="148">
        <f t="shared" si="4"/>
        <v>1</v>
      </c>
      <c r="R33" s="37">
        <f>IF(M33=Year_Open_to_Traffic?,Calculations!$J$5,Calculations!R32+(Calculations!R32*Calculations!O33*Q33))</f>
        <v>6030768.4347065445</v>
      </c>
      <c r="S33" s="54">
        <f t="shared" si="0"/>
        <v>0</v>
      </c>
      <c r="T33" s="37">
        <f t="shared" si="5"/>
        <v>0</v>
      </c>
      <c r="U33" s="142">
        <f>T33/(1+Real_Discount_Rate)^(Calculations!M33-'Assumed Values'!$C$5)</f>
        <v>0</v>
      </c>
    </row>
    <row r="34" spans="1:21" ht="15.75" x14ac:dyDescent="0.25">
      <c r="J34" s="166"/>
      <c r="L34" s="136"/>
      <c r="M34" s="144">
        <f t="shared" si="1"/>
        <v>2048</v>
      </c>
      <c r="N34" s="145">
        <f t="shared" si="6"/>
        <v>35390.006303658978</v>
      </c>
      <c r="O34" s="146">
        <f t="shared" si="7"/>
        <v>1.6658204261519982E-2</v>
      </c>
      <c r="P34" s="147">
        <f t="shared" si="8"/>
        <v>0.81719034193981221</v>
      </c>
      <c r="Q34" s="148">
        <f t="shared" si="4"/>
        <v>1</v>
      </c>
      <c r="R34" s="37">
        <f>IF(M34=Year_Open_to_Traffic?,Calculations!$J$5,Calculations!R33+(Calculations!R33*Calculations!O34*Q34))</f>
        <v>6131230.2071458129</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35979.540257481807</v>
      </c>
      <c r="O35" s="146">
        <f t="shared" si="7"/>
        <v>1.6658204261519982E-2</v>
      </c>
      <c r="P35" s="147">
        <f t="shared" si="8"/>
        <v>0.83080326557638695</v>
      </c>
      <c r="Q35" s="148">
        <f t="shared" si="4"/>
        <v>1</v>
      </c>
      <c r="R35" s="37">
        <f>IF(M35=Year_Open_to_Traffic?,Calculations!$J$5,Calculations!R34+(Calculations!R34*Calculations!O35*Q35))</f>
        <v>6233365.492310849</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36578.894788326521</v>
      </c>
      <c r="O36" s="146">
        <f t="shared" si="7"/>
        <v>1.6658204261519982E-2</v>
      </c>
      <c r="P36" s="147">
        <f t="shared" si="8"/>
        <v>0.84464295607549622</v>
      </c>
      <c r="Q36" s="148">
        <f t="shared" si="4"/>
        <v>1</v>
      </c>
      <c r="R36" s="37">
        <f>IF(M36=Year_Open_to_Traffic?,Calculations!$J$5,Calculations!R35+(Calculations!R35*Calculations!O36*Q36))</f>
        <v>6337202.1679184735</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17089.782268364066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2018-08-02T18:58:13Z</cp:lastPrinted>
  <dcterms:created xsi:type="dcterms:W3CDTF">2012-07-25T15:48:32Z</dcterms:created>
  <dcterms:modified xsi:type="dcterms:W3CDTF">2018-10-31T20:22:13Z</dcterms:modified>
</cp:coreProperties>
</file>