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3_HW_US90A/"/>
    </mc:Choice>
  </mc:AlternateContent>
  <xr:revisionPtr revIDLastSave="8" documentId="10_ncr:100000_{55D51280-3EAF-4A29-A3D8-1FE3B56DB603}" xr6:coauthVersionLast="40" xr6:coauthVersionMax="40" xr10:uidLastSave="{2C56A0C9-42E7-4AE8-A282-0C62BD014874}"/>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1" i="19"/>
  <c r="C9" i="19"/>
  <c r="H7" i="19"/>
  <c r="H19" i="19"/>
  <c r="H29" i="19"/>
  <c r="H8"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H4" i="7"/>
  <c r="G4" i="5"/>
  <c r="G5" i="5"/>
  <c r="G6" i="5"/>
  <c r="G7" i="5"/>
  <c r="G8" i="5"/>
  <c r="G9" i="5"/>
  <c r="G10" i="5"/>
  <c r="G11" i="5"/>
  <c r="G12" i="5"/>
  <c r="G13" i="5"/>
  <c r="G14" i="5"/>
  <c r="B18" i="7"/>
  <c r="B17" i="7"/>
  <c r="B16" i="7"/>
  <c r="E17" i="7"/>
  <c r="G5" i="7"/>
  <c r="H5"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H23" i="19"/>
  <c r="H33" i="19"/>
  <c r="H25" i="19"/>
  <c r="H9" i="19"/>
  <c r="H31" i="19"/>
  <c r="H17" i="19"/>
  <c r="H35" i="19"/>
  <c r="H14" i="19"/>
  <c r="H32" i="19"/>
  <c r="G32" i="19"/>
  <c r="G33" i="19"/>
  <c r="H34" i="19"/>
  <c r="H27" i="19"/>
  <c r="H5" i="19"/>
  <c r="G5" i="19"/>
  <c r="H16" i="19"/>
  <c r="H18" i="19"/>
  <c r="H36" i="19"/>
  <c r="H10" i="19"/>
  <c r="H22" i="19"/>
  <c r="H24" i="19"/>
  <c r="H26" i="19"/>
  <c r="H20" i="19"/>
  <c r="H30" i="19"/>
  <c r="H13" i="19"/>
  <c r="H28" i="19"/>
  <c r="H15" i="19"/>
  <c r="H12" i="19"/>
  <c r="G12" i="19"/>
  <c r="H6" i="19"/>
  <c r="H11" i="19"/>
  <c r="N5" i="19"/>
  <c r="O5" i="19"/>
  <c r="P5" i="19"/>
  <c r="Q5" i="19"/>
  <c r="N32" i="19"/>
  <c r="O32" i="19"/>
  <c r="P32" i="19"/>
  <c r="Q32" i="19"/>
  <c r="J5" i="19"/>
  <c r="N11" i="19"/>
  <c r="O11" i="19"/>
  <c r="P11" i="19"/>
  <c r="Q11" i="19"/>
  <c r="J32" i="19"/>
  <c r="N31" i="19"/>
  <c r="O31" i="19"/>
  <c r="P31" i="19"/>
  <c r="Q31" i="19"/>
  <c r="J11" i="19"/>
  <c r="N4" i="19"/>
  <c r="J31" i="19"/>
  <c r="J4" i="19"/>
  <c r="G13" i="19"/>
  <c r="G14" i="19"/>
  <c r="N14" i="19"/>
  <c r="O14" i="19"/>
  <c r="P14" i="19"/>
  <c r="Q14" i="19"/>
  <c r="J12" i="19"/>
  <c r="T12" i="19"/>
  <c r="U12" i="19"/>
  <c r="G34" i="19"/>
  <c r="N13" i="19"/>
  <c r="O13" i="19"/>
  <c r="P13" i="19"/>
  <c r="Q13" i="19"/>
  <c r="J13" i="19"/>
  <c r="N33" i="19"/>
  <c r="O33" i="19"/>
  <c r="P33" i="19"/>
  <c r="Q33" i="19"/>
  <c r="J33" i="19"/>
  <c r="T33" i="19"/>
  <c r="U33" i="19"/>
  <c r="N12" i="19"/>
  <c r="O12" i="19"/>
  <c r="P12" i="19"/>
  <c r="Q12" i="19"/>
  <c r="G6" i="19"/>
  <c r="K31" i="19"/>
  <c r="L31" i="19"/>
  <c r="M31" i="19"/>
  <c r="T31" i="19"/>
  <c r="U31" i="19"/>
  <c r="K32" i="19"/>
  <c r="L32" i="19"/>
  <c r="M32" i="19"/>
  <c r="T32" i="19"/>
  <c r="U32" i="19"/>
  <c r="T11" i="19"/>
  <c r="U11" i="19"/>
  <c r="K11" i="19"/>
  <c r="L11" i="19"/>
  <c r="M11" i="19"/>
  <c r="K4" i="19"/>
  <c r="T4" i="19"/>
  <c r="O4" i="19"/>
  <c r="K5" i="19"/>
  <c r="L5" i="19"/>
  <c r="M5" i="19"/>
  <c r="T5" i="19"/>
  <c r="U5" i="19"/>
  <c r="K33" i="19"/>
  <c r="L33" i="19"/>
  <c r="M33" i="19"/>
  <c r="K12" i="19"/>
  <c r="L12" i="19"/>
  <c r="M12" i="19"/>
  <c r="G15" i="19"/>
  <c r="J14" i="19"/>
  <c r="G35" i="19"/>
  <c r="N34" i="19"/>
  <c r="O34" i="19"/>
  <c r="P34" i="19"/>
  <c r="Q34" i="19"/>
  <c r="J34" i="19"/>
  <c r="G7" i="19"/>
  <c r="J6" i="19"/>
  <c r="N6" i="19"/>
  <c r="O6" i="19"/>
  <c r="P6" i="19"/>
  <c r="Q6" i="19"/>
  <c r="K13" i="19"/>
  <c r="L13" i="19"/>
  <c r="M13" i="19"/>
  <c r="T13" i="19"/>
  <c r="U13" i="19"/>
  <c r="L4" i="19"/>
  <c r="P4" i="19"/>
  <c r="U4" i="19"/>
  <c r="T14" i="19"/>
  <c r="U14" i="19"/>
  <c r="K14" i="19"/>
  <c r="L14" i="19"/>
  <c r="M14" i="19"/>
  <c r="G16" i="19"/>
  <c r="N15" i="19"/>
  <c r="O15" i="19"/>
  <c r="P15" i="19"/>
  <c r="Q15" i="19"/>
  <c r="J15" i="19"/>
  <c r="K6" i="19"/>
  <c r="T6" i="19"/>
  <c r="G8" i="19"/>
  <c r="J7" i="19"/>
  <c r="N7" i="19"/>
  <c r="O7" i="19"/>
  <c r="P7" i="19"/>
  <c r="Q7" i="19"/>
  <c r="T34" i="19"/>
  <c r="U34" i="19"/>
  <c r="K34" i="19"/>
  <c r="L34" i="19"/>
  <c r="M34" i="19"/>
  <c r="G36" i="19"/>
  <c r="J35" i="19"/>
  <c r="N35" i="19"/>
  <c r="O35" i="19"/>
  <c r="P35" i="19"/>
  <c r="Q35" i="19"/>
  <c r="M4" i="19"/>
  <c r="Q4" i="19"/>
  <c r="K15" i="19"/>
  <c r="L15" i="19"/>
  <c r="M15" i="19"/>
  <c r="T15" i="19"/>
  <c r="U15" i="19"/>
  <c r="G17" i="19"/>
  <c r="N16" i="19"/>
  <c r="O16" i="19"/>
  <c r="P16" i="19"/>
  <c r="Q16" i="19"/>
  <c r="J16" i="19"/>
  <c r="K35" i="19"/>
  <c r="L35" i="19"/>
  <c r="M35" i="19"/>
  <c r="T35" i="19"/>
  <c r="U35" i="19"/>
  <c r="U6" i="19"/>
  <c r="T7" i="19"/>
  <c r="U7" i="19"/>
  <c r="K7" i="19"/>
  <c r="L7" i="19"/>
  <c r="M7" i="19"/>
  <c r="G9" i="19"/>
  <c r="J8" i="19"/>
  <c r="N8" i="19"/>
  <c r="N36" i="19"/>
  <c r="O36" i="19"/>
  <c r="P36" i="19"/>
  <c r="Q36" i="19"/>
  <c r="J36" i="19"/>
  <c r="L6" i="19"/>
  <c r="G18" i="19"/>
  <c r="J17" i="19"/>
  <c r="N17" i="19"/>
  <c r="O17" i="19"/>
  <c r="P17" i="19"/>
  <c r="Q17" i="19"/>
  <c r="K16" i="19"/>
  <c r="L16" i="19"/>
  <c r="M16" i="19"/>
  <c r="T16" i="19"/>
  <c r="U16" i="19"/>
  <c r="K8" i="19"/>
  <c r="L8" i="19"/>
  <c r="M8" i="19"/>
  <c r="T8" i="19"/>
  <c r="U8" i="19"/>
  <c r="G10" i="19"/>
  <c r="N9" i="19"/>
  <c r="O9" i="19"/>
  <c r="P9" i="19"/>
  <c r="Q9" i="19"/>
  <c r="J9" i="19"/>
  <c r="M6" i="19"/>
  <c r="K36" i="19"/>
  <c r="L36" i="19"/>
  <c r="M36" i="19"/>
  <c r="T36" i="19"/>
  <c r="U36" i="19"/>
  <c r="O8" i="19"/>
  <c r="G19" i="19"/>
  <c r="J18" i="19"/>
  <c r="N18" i="19"/>
  <c r="O18" i="19"/>
  <c r="P18" i="19"/>
  <c r="Q18" i="19"/>
  <c r="T17" i="19"/>
  <c r="U17" i="19"/>
  <c r="K17" i="19"/>
  <c r="L17" i="19"/>
  <c r="M17" i="19"/>
  <c r="P8" i="19"/>
  <c r="K9" i="19"/>
  <c r="T9" i="19"/>
  <c r="N10" i="19"/>
  <c r="O10" i="19"/>
  <c r="P10" i="19"/>
  <c r="Q10" i="19"/>
  <c r="J10" i="19"/>
  <c r="T18" i="19"/>
  <c r="U18" i="19"/>
  <c r="K18" i="19"/>
  <c r="L18" i="19"/>
  <c r="M18" i="19"/>
  <c r="G20" i="19"/>
  <c r="J19" i="19"/>
  <c r="N19" i="19"/>
  <c r="O19" i="19"/>
  <c r="P19" i="19"/>
  <c r="Q19" i="19"/>
  <c r="U9" i="19"/>
  <c r="T10" i="19"/>
  <c r="U10" i="19"/>
  <c r="K10" i="19"/>
  <c r="L10" i="19"/>
  <c r="M10" i="19"/>
  <c r="L9" i="19"/>
  <c r="Q8" i="19"/>
  <c r="T19" i="19"/>
  <c r="U19" i="19"/>
  <c r="K19" i="19"/>
  <c r="L19" i="19"/>
  <c r="M19" i="19"/>
  <c r="G21" i="19"/>
  <c r="J20" i="19"/>
  <c r="N20" i="19"/>
  <c r="O20" i="19"/>
  <c r="P20" i="19"/>
  <c r="Q20" i="19"/>
  <c r="M9" i="19"/>
  <c r="G22" i="19"/>
  <c r="J21" i="19"/>
  <c r="N21" i="19"/>
  <c r="O21" i="19"/>
  <c r="P21" i="19"/>
  <c r="Q21" i="19"/>
  <c r="T20" i="19"/>
  <c r="K20" i="19"/>
  <c r="G23" i="19"/>
  <c r="N22" i="19"/>
  <c r="O22" i="19"/>
  <c r="P22" i="19"/>
  <c r="Q22" i="19"/>
  <c r="J22" i="19"/>
  <c r="L20" i="19"/>
  <c r="T21" i="19"/>
  <c r="U21" i="19"/>
  <c r="K21" i="19"/>
  <c r="L21" i="19"/>
  <c r="M21" i="19"/>
  <c r="U20" i="19"/>
  <c r="K22" i="19"/>
  <c r="L22" i="19"/>
  <c r="M22" i="19"/>
  <c r="T22" i="19"/>
  <c r="U22" i="19"/>
  <c r="M20" i="19"/>
  <c r="G24" i="19"/>
  <c r="J23" i="19"/>
  <c r="N23" i="19"/>
  <c r="O23" i="19"/>
  <c r="P23" i="19"/>
  <c r="T23" i="19"/>
  <c r="U23" i="19"/>
  <c r="K23" i="19"/>
  <c r="L23" i="19"/>
  <c r="G25" i="19"/>
  <c r="J24" i="19"/>
  <c r="N24" i="19"/>
  <c r="M23" i="19"/>
  <c r="Q23" i="19"/>
  <c r="J25" i="19"/>
  <c r="N25" i="19"/>
  <c r="O25" i="19"/>
  <c r="P25" i="19"/>
  <c r="Q25" i="19"/>
  <c r="G26" i="19"/>
  <c r="O24" i="19"/>
  <c r="T24" i="19"/>
  <c r="K24" i="19"/>
  <c r="L24" i="19"/>
  <c r="M24" i="19"/>
  <c r="K25" i="19"/>
  <c r="L25" i="19"/>
  <c r="M25" i="19"/>
  <c r="T25" i="19"/>
  <c r="U25" i="19"/>
  <c r="U24" i="19"/>
  <c r="P24" i="19"/>
  <c r="N26" i="19"/>
  <c r="O26" i="19"/>
  <c r="P26" i="19"/>
  <c r="Q26" i="19"/>
  <c r="J26" i="19"/>
  <c r="G27" i="19"/>
  <c r="Q24" i="19"/>
  <c r="G28" i="19"/>
  <c r="J27" i="19"/>
  <c r="N27" i="19"/>
  <c r="O27" i="19"/>
  <c r="P27" i="19"/>
  <c r="Q27" i="19"/>
  <c r="T26" i="19"/>
  <c r="K26" i="19"/>
  <c r="L26" i="19"/>
  <c r="U26" i="19"/>
  <c r="M26" i="19"/>
  <c r="G29" i="19"/>
  <c r="N28" i="19"/>
  <c r="O28" i="19"/>
  <c r="P28" i="19"/>
  <c r="Q28" i="19"/>
  <c r="J28" i="19"/>
  <c r="K27" i="19"/>
  <c r="L27" i="19"/>
  <c r="M27" i="19"/>
  <c r="T27" i="19"/>
  <c r="U27" i="19"/>
  <c r="T28" i="19"/>
  <c r="U28" i="19"/>
  <c r="K28" i="19"/>
  <c r="L28" i="19"/>
  <c r="M28" i="19"/>
  <c r="J29" i="19"/>
  <c r="N29" i="19"/>
  <c r="O29" i="19"/>
  <c r="P29" i="19"/>
  <c r="Q29" i="19"/>
  <c r="G30" i="19"/>
  <c r="T29" i="19"/>
  <c r="U29" i="19"/>
  <c r="K29" i="19"/>
  <c r="L29" i="19"/>
  <c r="M29" i="19"/>
  <c r="N30" i="19"/>
  <c r="J30" i="19"/>
  <c r="K30" i="19"/>
  <c r="T30" i="19"/>
  <c r="J37" i="19"/>
  <c r="O30" i="19"/>
  <c r="N37" i="19"/>
  <c r="P30" i="19"/>
  <c r="O37" i="19"/>
  <c r="B38" i="11"/>
  <c r="U30" i="19"/>
  <c r="U37" i="19"/>
  <c r="T37" i="19"/>
  <c r="L30" i="19"/>
  <c r="K37" i="19"/>
  <c r="B37" i="11"/>
  <c r="M30" i="19"/>
  <c r="M37" i="19"/>
  <c r="B30" i="11"/>
  <c r="L37" i="19"/>
  <c r="Q30"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<sst xmlns="http://schemas.openxmlformats.org/spreadsheetml/2006/main" count="263" uniqueCount="131">
  <si>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</si>
  <si>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</si>
  <si>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</si>
  <si>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</si>
  <si>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</si>
  <si>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</si>
  <si>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</si>
  <si>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</si>
  <si>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</si>
  <si>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</si>
  <si>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</si>
  <si>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</si>
  <si>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</si>
  <si>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</si>
  <si>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</si>
  <si>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</si>
  <si>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</si>
  <si>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</si>
  <si>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</si>
  <si>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</si>
  <si>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</si>
  <si>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</si>
  <si>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</si>
  <si>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</si>
  <si>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</si>
  <si>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</si>
  <si>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</si>
  <si>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</si>
  <si>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</si>
  <si>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</si>
  <si>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</si>
  <si>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</si>
  <si>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</si>
  <si>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</si>
  <si>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</si>
  <si>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</si>
  <si>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</si>
  <si>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</si>
  <si>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</si>
  <si>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</si>
  <si>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</si>
  <si>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</si>
  <si>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</si>
  <si>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</si>
  <si>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</si>
  <si>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</si>
  <si>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</si>
  <si>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US 90A/SH 99 Grade Separation</t>
  </si>
  <si>
    <t>Data entered by the sponsors</t>
  </si>
  <si>
    <t>Application ID Number:</t>
  </si>
  <si>
    <t>Data populated/calculated based on inputs</t>
  </si>
  <si>
    <t>Sponsor ID Number (CSJ, etc.):</t>
  </si>
  <si>
    <t>0027-08-180</t>
  </si>
  <si>
    <t xml:space="preserve">HGAC regional travel demand model data provided by HGAC </t>
  </si>
  <si>
    <t>Project County</t>
  </si>
  <si>
    <t>Fort Bend</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</si>
  <si>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</si>
  <si>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</si>
  <si>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</si>
  <si>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</si>
  <si>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</si>
  <si>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</si>
  <si>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</si>
  <si>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</si>
  <si>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 do nothing</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</si>
  <si>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</si>
  <si>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</si>
  <si>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</si>
  <si>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</si>
  <si>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</si>
  <si>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</si>
  <si>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</si>
  <si>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</si>
  <si>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</si>
  <si>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</si>
  <si>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</si>
  <si>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</si>
  <si>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</si>
  <si>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</si>
  <si>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</si>
  <si>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</si>
  <si>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</si>
  <si>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</si>
  <si>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</si>
  <si>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</si>
  <si>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</si>
  <si>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</si>
  <si>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</si>
  <si>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</si>
  <si>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</si>
  <si>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</si>
  <si>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</si>
  <si>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</si>
  <si>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</si>
  <si>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</si>
  <si>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</si>
  <si>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</si>
  <si>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</si>
  <si>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</si>
  <si>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</si>
  <si>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</si>
  <si>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</si>
  <si>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</si>
  <si>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</si>
  <si>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</si>
  <si>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</si>
  <si>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</si>
  <si>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</si>
  <si>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</si>
  <si>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</si>
  <si>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</si>
  <si>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</si>
  <si>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</si>
  <si>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</si>
  <si>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</si>
  <si>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</si>
  <si>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Galveston</t>
  </si>
  <si>
    <t>Harris</t>
  </si>
  <si>
    <t>Liberty</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</si>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</sst>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righ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5" zoomScaleNormal="100" workbookViewId="0" xr3:uid="{51F8DEE0-4D01-5F28-A812-FC0BD7CAC4A5}">
      <selection activeCell="F17" sqref="F17"/>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ht="45">
      <c r="A6" s="5" t="s">
        <v>6</v>
      </c>
      <c r="B6" s="97" t="s">
        <v>47</v>
      </c>
      <c r="D6" s="5"/>
      <c r="E6" s="49" t="s">
        <v>48</v>
      </c>
    </row>
    <row r="7" spans="1:5">
      <c r="A7" s="5" t="s">
        <v>49</v>
      </c>
      <c r="B7" s="5"/>
      <c r="D7" s="78"/>
      <c r="E7" s="49" t="s">
        <v>50</v>
      </c>
    </row>
    <row r="8" spans="1:5">
      <c r="A8" s="5" t="s">
        <v>51</v>
      </c>
      <c r="B8" s="83" t="s">
        <v>52</v>
      </c>
      <c r="D8" s="82"/>
      <c r="E8" s="49" t="s">
        <v>53</v>
      </c>
    </row>
    <row r="9" spans="1:5">
      <c r="A9" s="5" t="s">
        <v>54</v>
      </c>
      <c r="B9" s="83" t="s">
        <v>55</v>
      </c>
      <c r="D9" s="84"/>
      <c r="E9" s="49" t="s">
        <v>56</v>
      </c>
    </row>
    <row r="12" spans="1:5">
      <c r="A12" s="81" t="s">
        <v>57</v>
      </c>
    </row>
    <row r="13" spans="1:5">
      <c r="A13" s="5" t="s">
        <v>58</v>
      </c>
      <c r="B13" s="5">
        <v>2022</v>
      </c>
    </row>
    <row r="14" spans="1:5">
      <c r="A14" s="5" t="s">
        <v>59</v>
      </c>
      <c r="B14" s="5" t="s">
        <v>60</v>
      </c>
    </row>
    <row r="15" spans="1:5">
      <c r="A15" s="85" t="s">
        <v>61</v>
      </c>
      <c r="B15" s="8" t="s">
        <v>62</v>
      </c>
    </row>
    <row r="16" spans="1:5">
      <c r="A16" s="85" t="s">
        <v>63</v>
      </c>
      <c r="B16" s="8">
        <v>0.71</v>
      </c>
    </row>
    <row r="17" spans="1:2" ht="30">
      <c r="A17" s="86" t="s">
        <v>64</v>
      </c>
      <c r="B17" s="8">
        <v>15</v>
      </c>
    </row>
    <row r="18" spans="1:2">
      <c r="A18" s="86" t="s">
        <v>65</v>
      </c>
      <c r="B18" s="8">
        <v>19</v>
      </c>
    </row>
    <row r="19" spans="1:2">
      <c r="A19" s="76" t="s">
        <v>66</v>
      </c>
      <c r="B19" s="77">
        <f>VLOOKUP(B14,'Service Life'!C6:D8,2,FALSE)</f>
        <v>20</v>
      </c>
    </row>
    <row r="21" spans="1:2">
      <c r="A21" s="81" t="s">
        <v>67</v>
      </c>
    </row>
    <row r="22" spans="1:2" ht="20.25" customHeight="1">
      <c r="A22" s="86" t="s">
        <v>68</v>
      </c>
      <c r="B22" s="95">
        <v>41933</v>
      </c>
    </row>
    <row r="23" spans="1:2" ht="30">
      <c r="A23" s="94" t="s">
        <v>69</v>
      </c>
      <c r="B23" s="96">
        <v>42699</v>
      </c>
    </row>
    <row r="24" spans="1:2" ht="30">
      <c r="A24" s="94" t="s">
        <v>70</v>
      </c>
      <c r="B24" s="96">
        <v>50531</v>
      </c>
    </row>
    <row r="27" spans="1:2" ht="18.75">
      <c r="A27" s="79" t="s">
        <v>71</v>
      </c>
      <c r="B27" s="80"/>
    </row>
    <row r="29" spans="1:2">
      <c r="A29" s="87" t="s">
        <v>72</v>
      </c>
    </row>
    <row r="30" spans="1:2">
      <c r="A30" s="84" t="s">
        <v>73</v>
      </c>
      <c r="B30" s="35">
        <f>'Benefit Calculations'!M37</f>
        <v>4861.0276631859269</v>
      </c>
    </row>
    <row r="31" spans="1:2">
      <c r="A31" s="84" t="s">
        <v>74</v>
      </c>
      <c r="B31" s="35">
        <f>'Benefit Calculations'!Q37</f>
        <v>423.05769614906444</v>
      </c>
    </row>
    <row r="32" spans="1:2">
      <c r="B32" s="88"/>
    </row>
    <row r="33" spans="1:9">
      <c r="A33" s="87" t="s">
        <v>75</v>
      </c>
      <c r="B33" s="88"/>
    </row>
    <row r="34" spans="1:9">
      <c r="A34" s="84" t="s">
        <v>76</v>
      </c>
      <c r="B34" s="35">
        <f>$B$30+$B$31</f>
        <v>5284.0853593349912</v>
      </c>
    </row>
    <row r="35" spans="1:9">
      <c r="I35" s="89"/>
    </row>
    <row r="36" spans="1:9">
      <c r="A36" s="87" t="s">
        <v>77</v>
      </c>
    </row>
    <row r="37" spans="1:9">
      <c r="A37" s="84" t="s">
        <v>78</v>
      </c>
      <c r="B37" s="91">
        <f>'Benefit Calculations'!K37</f>
        <v>1.5183610696592926</v>
      </c>
    </row>
    <row r="38" spans="1:9">
      <c r="A38" s="84" t="s">
        <v>79</v>
      </c>
      <c r="B38" s="91">
        <f>'Benefit Calculations'!O37</f>
        <v>0.52080584711281053</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5.8113399892999899E-2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1.6858600080000001E-2</v>
      </c>
      <c r="F4" s="54">
        <v>2018</v>
      </c>
      <c r="G4" s="63">
        <f>'Inputs &amp; Outputs'!B22</f>
        <v>41933</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4.9766298383499899E-2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1.39955002815E-2</v>
      </c>
      <c r="F5" s="54">
        <f t="shared" ref="F5:F36" si="2">F4+1</f>
        <v>2019</v>
      </c>
      <c r="G5" s="63">
        <f>G4+G4*H5</f>
        <v>42041.581438464142</v>
      </c>
      <c r="H5" s="62">
        <f>$C$9</f>
        <v>2.5894030587876316E-3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42150.444038037167</v>
      </c>
      <c r="H6" s="62">
        <f t="shared" ref="H6:H11" si="7">$C$9</f>
        <v>2.5894030587876316E-3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42259.588526758518</v>
      </c>
      <c r="H7" s="62">
        <f t="shared" si="7"/>
        <v>2.5894030587876316E-3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42369.015634552816</v>
      </c>
      <c r="H8" s="62">
        <f t="shared" si="7"/>
        <v>2.5894030587876316E-3</v>
      </c>
      <c r="I8" s="54">
        <f>IF(AND(F8&gt;='Inputs &amp; Outputs'!B$13,F8&lt;'Inputs &amp; Outputs'!B$13+'Inputs &amp; Outputs'!B$19),1,0)</f>
        <v>1</v>
      </c>
      <c r="J8" s="55">
        <f>I8*'Inputs &amp; Outputs'!B$16*'Benefit Calculations'!G8*('Benefit Calculations'!C$4-'Benefit Calculations'!C$5)</f>
        <v>251.09751679503546</v>
      </c>
      <c r="K8" s="71">
        <f t="shared" si="3"/>
        <v>7.1964843258599379E-2</v>
      </c>
      <c r="L8" s="56">
        <f>K8*'Assumed Values'!$C$8</f>
        <v>540.31204318556411</v>
      </c>
      <c r="M8" s="57">
        <f t="shared" si="0"/>
        <v>412.20147075788253</v>
      </c>
      <c r="N8" s="55">
        <f>I8*'Inputs &amp; Outputs'!B$16*'Benefit Calculations'!G8*('Benefit Calculations'!D$4-'Benefit Calculations'!D$5)</f>
        <v>86.127771289411413</v>
      </c>
      <c r="O8" s="71">
        <f t="shared" si="4"/>
        <v>2.4684320419283153E-2</v>
      </c>
      <c r="P8" s="56">
        <f>ABS(O8*'Assumed Values'!$C$7)</f>
        <v>47.023630398734404</v>
      </c>
      <c r="Q8" s="57">
        <f t="shared" si="1"/>
        <v>35.874102484286936</v>
      </c>
      <c r="T8" s="68">
        <f t="shared" si="5"/>
        <v>6.5285354366709222E-2</v>
      </c>
      <c r="U8" s="69">
        <f>T8*'Assumed Values'!$D$8</f>
        <v>0</v>
      </c>
    </row>
    <row r="9" spans="2:21">
      <c r="B9" s="15" t="s">
        <v>98</v>
      </c>
      <c r="C9" s="53">
        <f>('Inputs &amp; Outputs'!B23/'Inputs &amp; Outputs'!B22)^(1/(2025-2018))-1</f>
        <v>2.5894030587876316E-3</v>
      </c>
      <c r="F9" s="54">
        <f t="shared" si="2"/>
        <v>2023</v>
      </c>
      <c r="G9" s="63">
        <f t="shared" si="6"/>
        <v>42478.726093234749</v>
      </c>
      <c r="H9" s="62">
        <f t="shared" si="7"/>
        <v>2.5894030587876316E-3</v>
      </c>
      <c r="I9" s="54">
        <f>IF(AND(F9&gt;='Inputs &amp; Outputs'!B$13,F9&lt;'Inputs &amp; Outputs'!B$13+'Inputs &amp; Outputs'!B$19),1,0)</f>
        <v>1</v>
      </c>
      <c r="J9" s="55">
        <f>I9*'Inputs &amp; Outputs'!B$16*'Benefit Calculations'!G9*('Benefit Calculations'!C$4-'Benefit Calculations'!C$5)</f>
        <v>251.74770947307852</v>
      </c>
      <c r="K9" s="71">
        <f t="shared" si="3"/>
        <v>7.2151189243858369E-2</v>
      </c>
      <c r="L9" s="56">
        <f>K9*'Assumed Values'!$C$8</f>
        <v>541.71112884288868</v>
      </c>
      <c r="M9" s="57">
        <f t="shared" si="0"/>
        <v>386.23254813747644</v>
      </c>
      <c r="N9" s="55">
        <f>I9*'Inputs &amp; Outputs'!B$16*'Benefit Calculations'!G9*('Benefit Calculations'!D$4-'Benefit Calculations'!D$5)</f>
        <v>86.350790803834784</v>
      </c>
      <c r="O9" s="71">
        <f t="shared" si="4"/>
        <v>2.4748238074080942E-2</v>
      </c>
      <c r="P9" s="56">
        <f>ABS(O9*'Assumed Values'!$C$7)</f>
        <v>47.145393531124192</v>
      </c>
      <c r="Q9" s="57">
        <f t="shared" si="1"/>
        <v>33.614014014010287</v>
      </c>
      <c r="T9" s="68">
        <f t="shared" si="5"/>
        <v>6.545440446300041E-2</v>
      </c>
      <c r="U9" s="69">
        <f>T9*'Assumed Values'!$D$8</f>
        <v>0</v>
      </c>
    </row>
    <row r="10" spans="2:21">
      <c r="B10" s="15" t="s">
        <v>99</v>
      </c>
      <c r="C10" s="53">
        <f>('Inputs &amp; Outputs'!B24/'Inputs &amp; Outputs'!B23)^(1/(2045-2020))-1</f>
        <v>6.7592013278792162E-3</v>
      </c>
      <c r="F10" s="54">
        <f t="shared" si="2"/>
        <v>2024</v>
      </c>
      <c r="G10" s="63">
        <f t="shared" si="6"/>
        <v>42588.720636513972</v>
      </c>
      <c r="H10" s="62">
        <f t="shared" si="7"/>
        <v>2.5894030587876316E-3</v>
      </c>
      <c r="I10" s="54">
        <f>IF(AND(F10&gt;='Inputs &amp; Outputs'!B$13,F10&lt;'Inputs &amp; Outputs'!B$13+'Inputs &amp; Outputs'!B$19),1,0)</f>
        <v>1</v>
      </c>
      <c r="J10" s="55">
        <f>I10*'Inputs &amp; Outputs'!B$16*'Benefit Calculations'!G10*('Benefit Calculations'!C$4-'Benefit Calculations'!C$5)</f>
        <v>252.39958576203091</v>
      </c>
      <c r="K10" s="71">
        <f t="shared" si="3"/>
        <v>7.233801775398159E-2</v>
      </c>
      <c r="L10" s="56">
        <f>K10*'Assumed Values'!$C$8</f>
        <v>543.11383729689373</v>
      </c>
      <c r="M10" s="57">
        <f t="shared" si="0"/>
        <v>361.89968212993176</v>
      </c>
      <c r="N10" s="55">
        <f>I10*'Inputs &amp; Outputs'!B$16*'Benefit Calculations'!G10*('Benefit Calculations'!D$4-'Benefit Calculations'!D$5)</f>
        <v>86.574387805670966</v>
      </c>
      <c r="O10" s="71">
        <f t="shared" si="4"/>
        <v>2.4812321237449569E-2</v>
      </c>
      <c r="P10" s="56">
        <f>ABS(O10*'Assumed Values'!$C$7)</f>
        <v>47.267471957341428</v>
      </c>
      <c r="Q10" s="57">
        <f t="shared" si="1"/>
        <v>31.49631237823953</v>
      </c>
      <c r="T10" s="68">
        <f t="shared" si="5"/>
        <v>6.5623892298128039E-2</v>
      </c>
      <c r="U10" s="69">
        <f>T10*'Assumed Values'!$D$8</f>
        <v>0</v>
      </c>
    </row>
    <row r="11" spans="2:21">
      <c r="B11" s="15" t="s">
        <v>100</v>
      </c>
      <c r="C11" s="53">
        <f>('Inputs &amp; Outputs'!B24/'Inputs &amp; Outputs'!B22)^(1/(2045-2018))-1</f>
        <v>6.9318370600541801E-3</v>
      </c>
      <c r="F11" s="54">
        <f t="shared" si="2"/>
        <v>2025</v>
      </c>
      <c r="G11" s="63">
        <f>'Inputs &amp; Outputs'!$B$23</f>
        <v>42699</v>
      </c>
      <c r="H11" s="62">
        <f t="shared" si="7"/>
        <v>2.5894030587876316E-3</v>
      </c>
      <c r="I11" s="54">
        <f>IF(AND(F11&gt;='Inputs &amp; Outputs'!B$13,F11&lt;'Inputs &amp; Outputs'!B$13+'Inputs &amp; Outputs'!B$19),1,0)</f>
        <v>1</v>
      </c>
      <c r="J11" s="55">
        <f>I11*'Inputs &amp; Outputs'!B$16*'Benefit Calculations'!G11*('Benefit Calculations'!C$4-'Benefit Calculations'!C$5)</f>
        <v>253.05315002143973</v>
      </c>
      <c r="K11" s="71">
        <f t="shared" si="3"/>
        <v>7.2525330038420349E-2</v>
      </c>
      <c r="L11" s="56">
        <f>K11*'Assumed Values'!$C$8</f>
        <v>544.52017792845993</v>
      </c>
      <c r="M11" s="57">
        <f t="shared" si="0"/>
        <v>339.09980025590005</v>
      </c>
      <c r="N11" s="55">
        <f>I11*'Inputs &amp; Outputs'!B$16*'Benefit Calculations'!G11*('Benefit Calculations'!D$4-'Benefit Calculations'!D$5)</f>
        <v>86.798563790267593</v>
      </c>
      <c r="O11" s="71">
        <f t="shared" si="4"/>
        <v>2.487657033795743E-2</v>
      </c>
      <c r="P11" s="56">
        <f>ABS(O11*'Assumed Values'!$C$7)</f>
        <v>47.389866493808903</v>
      </c>
      <c r="Q11" s="57">
        <f t="shared" si="1"/>
        <v>29.512027126964728</v>
      </c>
      <c r="T11" s="68">
        <f t="shared" si="5"/>
        <v>6.5793819005574336E-2</v>
      </c>
      <c r="U11" s="69">
        <f>T11*'Assumed Values'!$D$8</f>
        <v>0</v>
      </c>
    </row>
    <row r="12" spans="2:21">
      <c r="C12" s="38"/>
      <c r="F12" s="54">
        <f t="shared" si="2"/>
        <v>2026</v>
      </c>
      <c r="G12" s="63">
        <f t="shared" si="6"/>
        <v>42987.611137499116</v>
      </c>
      <c r="H12" s="62">
        <f>$C$10</f>
        <v>6.7592013278792162E-3</v>
      </c>
      <c r="I12" s="54">
        <f>IF(AND(F12&gt;='Inputs &amp; Outputs'!B$13,F12&lt;'Inputs &amp; Outputs'!B$13+'Inputs &amp; Outputs'!B$19),1,0)</f>
        <v>1</v>
      </c>
      <c r="J12" s="55">
        <f>I12*'Inputs &amp; Outputs'!B$16*'Benefit Calculations'!G12*('Benefit Calculations'!C$4-'Benefit Calculations'!C$5)</f>
        <v>254.76358720908868</v>
      </c>
      <c r="K12" s="71">
        <f t="shared" si="3"/>
        <v>7.301554334552092E-2</v>
      </c>
      <c r="L12" s="56">
        <f>K12*'Assumed Values'!$C$8</f>
        <v>548.20069943817111</v>
      </c>
      <c r="M12" s="57">
        <f t="shared" si="0"/>
        <v>319.05779820193771</v>
      </c>
      <c r="N12" s="55">
        <f>I12*'Inputs &amp; Outputs'!B$16*'Benefit Calculations'!G12*('Benefit Calculations'!D$4-'Benefit Calculations'!D$5)</f>
        <v>87.385252757896794</v>
      </c>
      <c r="O12" s="71">
        <f t="shared" si="4"/>
        <v>2.5044716085218837E-2</v>
      </c>
      <c r="P12" s="56">
        <f>ABS(O12*'Assumed Values'!$C$7)</f>
        <v>47.710184142341888</v>
      </c>
      <c r="Q12" s="57">
        <f t="shared" si="1"/>
        <v>27.767761551317498</v>
      </c>
      <c r="T12" s="68">
        <f t="shared" si="5"/>
        <v>6.6238532674363054E-2</v>
      </c>
      <c r="U12" s="69">
        <f>T12*'Assumed Values'!$D$8</f>
        <v>0</v>
      </c>
    </row>
    <row r="13" spans="2:21">
      <c r="C13" s="38"/>
      <c r="F13" s="54">
        <f t="shared" si="2"/>
        <v>2027</v>
      </c>
      <c r="G13" s="63">
        <f t="shared" si="6"/>
        <v>43278.173055782056</v>
      </c>
      <c r="H13" s="62">
        <f t="shared" ref="H13:H36" si="8">$C$10</f>
        <v>6.7592013278792162E-3</v>
      </c>
      <c r="I13" s="54">
        <f>IF(AND(F13&gt;='Inputs &amp; Outputs'!B$13,F13&lt;'Inputs &amp; Outputs'!B$13+'Inputs &amp; Outputs'!B$19),1,0)</f>
        <v>1</v>
      </c>
      <c r="J13" s="55">
        <f>I13*'Inputs &amp; Outputs'!B$16*'Benefit Calculations'!G13*('Benefit Calculations'!C$4-'Benefit Calculations'!C$5)</f>
        <v>256.48558558604765</v>
      </c>
      <c r="K13" s="71">
        <f t="shared" si="3"/>
        <v>7.3509070103057794E-2</v>
      </c>
      <c r="L13" s="56">
        <f>K13*'Assumed Values'!$C$8</f>
        <v>551.90609833375788</v>
      </c>
      <c r="M13" s="57">
        <f t="shared" si="0"/>
        <v>300.20034962169575</v>
      </c>
      <c r="N13" s="55">
        <f>I13*'Inputs &amp; Outputs'!B$16*'Benefit Calculations'!G13*('Benefit Calculations'!D$4-'Benefit Calculations'!D$5)</f>
        <v>87.975907274375032</v>
      </c>
      <c r="O13" s="71">
        <f t="shared" si="4"/>
        <v>2.5213998363438406E-2</v>
      </c>
      <c r="P13" s="56">
        <f>ABS(O13*'Assumed Values'!$C$7)</f>
        <v>48.032666882350163</v>
      </c>
      <c r="Q13" s="57">
        <f t="shared" si="1"/>
        <v>26.126588263614384</v>
      </c>
      <c r="T13" s="68">
        <f t="shared" si="5"/>
        <v>6.6686252252372388E-2</v>
      </c>
      <c r="U13" s="69">
        <f>T13*'Assumed Values'!$D$8</f>
        <v>0</v>
      </c>
    </row>
    <row r="14" spans="2:21">
      <c r="C14" s="38"/>
      <c r="F14" s="54">
        <f t="shared" si="2"/>
        <v>2028</v>
      </c>
      <c r="G14" s="63">
        <f t="shared" si="6"/>
        <v>43570.698940568887</v>
      </c>
      <c r="H14" s="62">
        <f t="shared" si="8"/>
        <v>6.7592013278792162E-3</v>
      </c>
      <c r="I14" s="54">
        <f>IF(AND(F14&gt;='Inputs &amp; Outputs'!B$13,F14&lt;'Inputs &amp; Outputs'!B$13+'Inputs &amp; Outputs'!B$19),1,0)</f>
        <v>1</v>
      </c>
      <c r="J14" s="55">
        <f>I14*'Inputs &amp; Outputs'!B$16*'Benefit Calculations'!G14*('Benefit Calculations'!C$4-'Benefit Calculations'!C$5)</f>
        <v>258.21922329672276</v>
      </c>
      <c r="K14" s="71">
        <f t="shared" si="3"/>
        <v>7.4005932707309555E-2</v>
      </c>
      <c r="L14" s="56">
        <f>K14*'Assumed Values'!$C$8</f>
        <v>555.63654276648015</v>
      </c>
      <c r="M14" s="57">
        <f t="shared" si="0"/>
        <v>282.45744319952206</v>
      </c>
      <c r="N14" s="55">
        <f>I14*'Inputs &amp; Outputs'!B$16*'Benefit Calculations'!G14*('Benefit Calculations'!D$4-'Benefit Calculations'!D$5)</f>
        <v>88.570554143645367</v>
      </c>
      <c r="O14" s="71">
        <f t="shared" si="4"/>
        <v>2.5384424854657705E-2</v>
      </c>
      <c r="P14" s="56">
        <f>ABS(O14*'Assumed Values'!$C$7)</f>
        <v>48.357329348122931</v>
      </c>
      <c r="Q14" s="57">
        <f t="shared" si="1"/>
        <v>24.582414143643707</v>
      </c>
      <c r="T14" s="68">
        <f t="shared" si="5"/>
        <v>6.7136998057147929E-2</v>
      </c>
      <c r="U14" s="69">
        <f>T14*'Assumed Values'!$D$8</f>
        <v>0</v>
      </c>
    </row>
    <row r="15" spans="2:21">
      <c r="C15" s="1"/>
      <c r="F15" s="54">
        <f t="shared" si="2"/>
        <v>2029</v>
      </c>
      <c r="G15" s="63">
        <f t="shared" si="6"/>
        <v>43865.202066704609</v>
      </c>
      <c r="H15" s="62">
        <f t="shared" si="8"/>
        <v>6.7592013278792162E-3</v>
      </c>
      <c r="I15" s="54">
        <f>IF(AND(F15&gt;='Inputs &amp; Outputs'!B$13,F15&lt;'Inputs &amp; Outputs'!B$13+'Inputs &amp; Outputs'!B$19),1,0)</f>
        <v>1</v>
      </c>
      <c r="J15" s="55">
        <f>I15*'Inputs &amp; Outputs'!B$16*'Benefit Calculations'!G15*('Benefit Calculations'!C$4-'Benefit Calculations'!C$5)</f>
        <v>259.96457901371394</v>
      </c>
      <c r="K15" s="71">
        <f t="shared" si="3"/>
        <v>7.450615370593576E-2</v>
      </c>
      <c r="L15" s="56">
        <f>K15*'Assumed Values'!$C$8</f>
        <v>559.39220202416573</v>
      </c>
      <c r="M15" s="57">
        <f t="shared" si="0"/>
        <v>265.76320553707069</v>
      </c>
      <c r="N15" s="55">
        <f>I15*'Inputs &amp; Outputs'!B$16*'Benefit Calculations'!G15*('Benefit Calculations'!D$4-'Benefit Calculations'!D$5)</f>
        <v>89.169220350824105</v>
      </c>
      <c r="O15" s="71">
        <f t="shared" si="4"/>
        <v>2.5556003292842761E-2</v>
      </c>
      <c r="P15" s="56">
        <f>ABS(O15*'Assumed Values'!$C$7)</f>
        <v>48.68418627286546</v>
      </c>
      <c r="Q15" s="57">
        <f t="shared" si="1"/>
        <v>23.129506196229812</v>
      </c>
      <c r="T15" s="68">
        <f t="shared" si="5"/>
        <v>6.7590790543565635E-2</v>
      </c>
      <c r="U15" s="69">
        <f>T15*'Assumed Values'!$D$8</f>
        <v>0</v>
      </c>
    </row>
    <row r="16" spans="2:21">
      <c r="C16" s="1"/>
      <c r="F16" s="54">
        <f t="shared" si="2"/>
        <v>2030</v>
      </c>
      <c r="G16" s="63">
        <f t="shared" si="6"/>
        <v>44161.695798761568</v>
      </c>
      <c r="H16" s="62">
        <f t="shared" si="8"/>
        <v>6.7592013278792162E-3</v>
      </c>
      <c r="I16" s="54">
        <f>IF(AND(F16&gt;='Inputs &amp; Outputs'!B$13,F16&lt;'Inputs &amp; Outputs'!B$13+'Inputs &amp; Outputs'!B$19),1,0)</f>
        <v>1</v>
      </c>
      <c r="J16" s="55">
        <f>I16*'Inputs &amp; Outputs'!B$16*'Benefit Calculations'!G16*('Benefit Calculations'!C$4-'Benefit Calculations'!C$5)</f>
        <v>261.72173194138497</v>
      </c>
      <c r="K16" s="71">
        <f t="shared" si="3"/>
        <v>7.5009755799000072E-2</v>
      </c>
      <c r="L16" s="56">
        <f>K16*'Assumed Values'!$C$8</f>
        <v>563.1732465388925</v>
      </c>
      <c r="M16" s="57">
        <f t="shared" si="0"/>
        <v>250.0556565876993</v>
      </c>
      <c r="N16" s="55">
        <f>I16*'Inputs &amp; Outputs'!B$16*'Benefit Calculations'!G16*('Benefit Calculations'!D$4-'Benefit Calculations'!D$5)</f>
        <v>89.771933063425337</v>
      </c>
      <c r="O16" s="71">
        <f t="shared" si="4"/>
        <v>2.5728741464235028E-2</v>
      </c>
      <c r="P16" s="56">
        <f>ABS(O16*'Assumed Values'!$C$7)</f>
        <v>49.01325248936773</v>
      </c>
      <c r="Q16" s="57">
        <f t="shared" si="1"/>
        <v>21.76247026656501</v>
      </c>
      <c r="T16" s="68">
        <f t="shared" si="5"/>
        <v>6.8047650304760093E-2</v>
      </c>
      <c r="U16" s="69">
        <f>T16*'Assumed Values'!$D$8</f>
        <v>0</v>
      </c>
    </row>
    <row r="17" spans="3:21">
      <c r="C17" s="1"/>
      <c r="F17" s="54">
        <f t="shared" si="2"/>
        <v>2031</v>
      </c>
      <c r="G17" s="63">
        <f t="shared" si="6"/>
        <v>44460.193591645955</v>
      </c>
      <c r="H17" s="62">
        <f t="shared" si="8"/>
        <v>6.7592013278792162E-3</v>
      </c>
      <c r="I17" s="54">
        <f>IF(AND(F17&gt;='Inputs &amp; Outputs'!B$13,F17&lt;'Inputs &amp; Outputs'!B$13+'Inputs &amp; Outputs'!B$19),1,0)</f>
        <v>1</v>
      </c>
      <c r="J17" s="55">
        <f>I17*'Inputs &amp; Outputs'!B$16*'Benefit Calculations'!G17*('Benefit Calculations'!C$4-'Benefit Calculations'!C$5)</f>
        <v>263.49076181945804</v>
      </c>
      <c r="K17" s="71">
        <f t="shared" si="3"/>
        <v>7.5516761840000585E-2</v>
      </c>
      <c r="L17" s="56">
        <f>K17*'Assumed Values'!$C$8</f>
        <v>566.97984789472434</v>
      </c>
      <c r="M17" s="57">
        <f t="shared" si="0"/>
        <v>235.27647954556133</v>
      </c>
      <c r="N17" s="55">
        <f>I17*'Inputs &amp; Outputs'!B$16*'Benefit Calculations'!G17*('Benefit Calculations'!D$4-'Benefit Calculations'!D$5)</f>
        <v>90.378719632593928</v>
      </c>
      <c r="O17" s="71">
        <f t="shared" si="4"/>
        <v>2.5902647207704747E-2</v>
      </c>
      <c r="P17" s="56">
        <f>ABS(O17*'Assumed Values'!$C$7)</f>
        <v>49.344542930677541</v>
      </c>
      <c r="Q17" s="57">
        <f t="shared" si="1"/>
        <v>20.476231013540847</v>
      </c>
      <c r="T17" s="68">
        <f t="shared" si="5"/>
        <v>6.8507598073059089E-2</v>
      </c>
      <c r="U17" s="69">
        <f>T17*'Assumed Values'!$D$8</f>
        <v>0</v>
      </c>
    </row>
    <row r="18" spans="3:21">
      <c r="F18" s="54">
        <f t="shared" si="2"/>
        <v>2032</v>
      </c>
      <c r="G18" s="63">
        <f t="shared" si="6"/>
        <v>44760.708991208376</v>
      </c>
      <c r="H18" s="62">
        <f t="shared" si="8"/>
        <v>6.7592013278792162E-3</v>
      </c>
      <c r="I18" s="54">
        <f>IF(AND(F18&gt;='Inputs &amp; Outputs'!B$13,F18&lt;'Inputs &amp; Outputs'!B$13+'Inputs &amp; Outputs'!B$19),1,0)</f>
        <v>1</v>
      </c>
      <c r="J18" s="55">
        <f>I18*'Inputs &amp; Outputs'!B$16*'Benefit Calculations'!G18*('Benefit Calculations'!C$4-'Benefit Calculations'!C$5)</f>
        <v>265.27174892663203</v>
      </c>
      <c r="K18" s="71">
        <f t="shared" si="3"/>
        <v>7.6027194836906647E-2</v>
      </c>
      <c r="L18" s="56">
        <f>K18*'Assumed Values'!$C$8</f>
        <v>570.81217883549516</v>
      </c>
      <c r="M18" s="57">
        <f t="shared" si="0"/>
        <v>221.37080433506958</v>
      </c>
      <c r="N18" s="55">
        <f>I18*'Inputs &amp; Outputs'!B$16*'Benefit Calculations'!G18*('Benefit Calculations'!D$4-'Benefit Calculations'!D$5)</f>
        <v>90.98960759434658</v>
      </c>
      <c r="O18" s="71">
        <f t="shared" si="4"/>
        <v>2.6077728415106648E-2</v>
      </c>
      <c r="P18" s="56">
        <f>ABS(O18*'Assumed Values'!$C$7)</f>
        <v>49.678072630778168</v>
      </c>
      <c r="Q18" s="57">
        <f t="shared" si="1"/>
        <v>19.266013066726668</v>
      </c>
      <c r="T18" s="68">
        <f t="shared" si="5"/>
        <v>6.8970654720924326E-2</v>
      </c>
      <c r="U18" s="69">
        <f>T18*'Assumed Values'!$D$8</f>
        <v>0</v>
      </c>
    </row>
    <row r="19" spans="3:21">
      <c r="F19" s="54">
        <f t="shared" si="2"/>
        <v>2033</v>
      </c>
      <c r="G19" s="63">
        <f t="shared" si="6"/>
        <v>45063.255634858564</v>
      </c>
      <c r="H19" s="62">
        <f t="shared" si="8"/>
        <v>6.7592013278792162E-3</v>
      </c>
      <c r="I19" s="54">
        <f>IF(AND(F19&gt;='Inputs &amp; Outputs'!B$13,F19&lt;'Inputs &amp; Outputs'!B$13+'Inputs &amp; Outputs'!B$19),1,0)</f>
        <v>1</v>
      </c>
      <c r="J19" s="55">
        <f>I19*'Inputs &amp; Outputs'!B$16*'Benefit Calculations'!G19*('Benefit Calculations'!C$4-'Benefit Calculations'!C$5)</f>
        <v>267.06477408422575</v>
      </c>
      <c r="K19" s="71">
        <f t="shared" si="3"/>
        <v>7.6541077953203196E-2</v>
      </c>
      <c r="L19" s="56">
        <f>K19*'Assumed Values'!$C$8</f>
        <v>574.67041327264963</v>
      </c>
      <c r="M19" s="57">
        <f t="shared" si="0"/>
        <v>208.28700389690172</v>
      </c>
      <c r="N19" s="55">
        <f>I19*'Inputs &amp; Outputs'!B$16*'Benefit Calculations'!G19*('Benefit Calculations'!D$4-'Benefit Calculations'!D$5)</f>
        <v>91.604624670821494</v>
      </c>
      <c r="O19" s="71">
        <f t="shared" si="4"/>
        <v>2.6253993031638112E-2</v>
      </c>
      <c r="P19" s="56">
        <f>ABS(O19*'Assumed Values'!$C$7)</f>
        <v>50.013856725270607</v>
      </c>
      <c r="Q19" s="57">
        <f t="shared" si="1"/>
        <v>18.127323297037591</v>
      </c>
      <c r="T19" s="68">
        <f t="shared" si="5"/>
        <v>6.9436841261898696E-2</v>
      </c>
      <c r="U19" s="69">
        <f>T19*'Assumed Values'!$D$8</f>
        <v>0</v>
      </c>
    </row>
    <row r="20" spans="3:21">
      <c r="F20" s="54">
        <f t="shared" si="2"/>
        <v>2034</v>
      </c>
      <c r="G20" s="63">
        <f t="shared" si="6"/>
        <v>45367.847252184263</v>
      </c>
      <c r="H20" s="62">
        <f t="shared" si="8"/>
        <v>6.7592013278792162E-3</v>
      </c>
      <c r="I20" s="54">
        <f>IF(AND(F20&gt;='Inputs &amp; Outputs'!B$13,F20&lt;'Inputs &amp; Outputs'!B$13+'Inputs &amp; Outputs'!B$19),1,0)</f>
        <v>1</v>
      </c>
      <c r="J20" s="55">
        <f>I20*'Inputs &amp; Outputs'!B$16*'Benefit Calculations'!G20*('Benefit Calculations'!C$4-'Benefit Calculations'!C$5)</f>
        <v>268.86991865984561</v>
      </c>
      <c r="K20" s="71">
        <f t="shared" si="3"/>
        <v>7.70584345089418E-2</v>
      </c>
      <c r="L20" s="56">
        <f>K20*'Assumed Values'!$C$8</f>
        <v>578.55472629313499</v>
      </c>
      <c r="M20" s="57">
        <f t="shared" si="0"/>
        <v>195.97650251422584</v>
      </c>
      <c r="N20" s="55">
        <f>I20*'Inputs &amp; Outputs'!B$16*'Benefit Calculations'!G20*('Benefit Calculations'!D$4-'Benefit Calculations'!D$5)</f>
        <v>92.223798771536394</v>
      </c>
      <c r="O20" s="71">
        <f t="shared" si="4"/>
        <v>2.6431449056199693E-2</v>
      </c>
      <c r="P20" s="56">
        <f>ABS(O20*'Assumed Values'!$C$7)</f>
        <v>50.351910452060416</v>
      </c>
      <c r="Q20" s="57">
        <f t="shared" si="1"/>
        <v>17.055934135268998</v>
      </c>
      <c r="T20" s="68">
        <f t="shared" si="5"/>
        <v>6.9906178851559864E-2</v>
      </c>
      <c r="U20" s="69">
        <f>T20*'Assumed Values'!$D$8</f>
        <v>0</v>
      </c>
    </row>
    <row r="21" spans="3:21">
      <c r="F21" s="54">
        <f t="shared" si="2"/>
        <v>2035</v>
      </c>
      <c r="G21" s="63">
        <f t="shared" si="6"/>
        <v>45674.49766557425</v>
      </c>
      <c r="H21" s="62">
        <f t="shared" si="8"/>
        <v>6.7592013278792162E-3</v>
      </c>
      <c r="I21" s="54">
        <f>IF(AND(F21&gt;='Inputs &amp; Outputs'!B$13,F21&lt;'Inputs &amp; Outputs'!B$13+'Inputs &amp; Outputs'!B$19),1,0)</f>
        <v>1</v>
      </c>
      <c r="J21" s="55">
        <f>I21*'Inputs &amp; Outputs'!B$16*'Benefit Calculations'!G21*('Benefit Calculations'!C$4-'Benefit Calculations'!C$5)</f>
        <v>270.687264571078</v>
      </c>
      <c r="K21" s="71">
        <f t="shared" si="3"/>
        <v>7.7579287981798931E-2</v>
      </c>
      <c r="L21" s="56">
        <f>K21*'Assumed Values'!$C$8</f>
        <v>582.46529416734631</v>
      </c>
      <c r="M21" s="57">
        <f t="shared" si="0"/>
        <v>184.39359546752627</v>
      </c>
      <c r="N21" s="55">
        <f>I21*'Inputs &amp; Outputs'!B$16*'Benefit Calculations'!G21*('Benefit Calculations'!D$4-'Benefit Calculations'!D$5)</f>
        <v>92.847157994655035</v>
      </c>
      <c r="O21" s="71">
        <f t="shared" si="4"/>
        <v>2.6610104541758134E-2</v>
      </c>
      <c r="P21" s="56">
        <f>ABS(O21*'Assumed Values'!$C$7)</f>
        <v>50.692249152049243</v>
      </c>
      <c r="Q21" s="57">
        <f t="shared" si="1"/>
        <v>16.047867876564794</v>
      </c>
      <c r="T21" s="68">
        <f t="shared" si="5"/>
        <v>7.037868878848029E-2</v>
      </c>
      <c r="U21" s="69">
        <f>T21*'Assumed Values'!$D$8</f>
        <v>0</v>
      </c>
    </row>
    <row r="22" spans="3:21">
      <c r="F22" s="54">
        <f t="shared" si="2"/>
        <v>2036</v>
      </c>
      <c r="G22" s="63">
        <f t="shared" si="6"/>
        <v>45983.220790845618</v>
      </c>
      <c r="H22" s="62">
        <f t="shared" si="8"/>
        <v>6.7592013278792162E-3</v>
      </c>
      <c r="I22" s="54">
        <f>IF(AND(F22&gt;='Inputs &amp; Outputs'!B$13,F22&lt;'Inputs &amp; Outputs'!B$13+'Inputs &amp; Outputs'!B$19),1,0)</f>
        <v>1</v>
      </c>
      <c r="J22" s="55">
        <f>I22*'Inputs &amp; Outputs'!B$16*'Benefit Calculations'!G22*('Benefit Calculations'!C$4-'Benefit Calculations'!C$5)</f>
        <v>272.51689428920685</v>
      </c>
      <c r="K22" s="71">
        <f t="shared" si="3"/>
        <v>7.8103662008141436E-2</v>
      </c>
      <c r="L22" s="56">
        <f>K22*'Assumed Values'!$C$8</f>
        <v>586.40229435712592</v>
      </c>
      <c r="M22" s="57">
        <f t="shared" si="0"/>
        <v>173.49527934846995</v>
      </c>
      <c r="N22" s="55">
        <f>I22*'Inputs &amp; Outputs'!B$16*'Benefit Calculations'!G22*('Benefit Calculations'!D$4-'Benefit Calculations'!D$5)</f>
        <v>93.474730628262321</v>
      </c>
      <c r="O22" s="71">
        <f t="shared" si="4"/>
        <v>2.678996759571179E-2</v>
      </c>
      <c r="P22" s="56">
        <f>ABS(O22*'Assumed Values'!$C$7)</f>
        <v>51.034888269830958</v>
      </c>
      <c r="Q22" s="57">
        <f t="shared" si="1"/>
        <v>15.099381912547384</v>
      </c>
      <c r="T22" s="68">
        <f t="shared" si="5"/>
        <v>7.0854392515193779E-2</v>
      </c>
      <c r="U22" s="69">
        <f>T22*'Assumed Values'!$D$8</f>
        <v>0</v>
      </c>
    </row>
    <row r="23" spans="3:21">
      <c r="F23" s="54">
        <f t="shared" si="2"/>
        <v>2037</v>
      </c>
      <c r="G23" s="63">
        <f t="shared" si="6"/>
        <v>46294.030637875265</v>
      </c>
      <c r="H23" s="62">
        <f t="shared" si="8"/>
        <v>6.7592013278792162E-3</v>
      </c>
      <c r="I23" s="54">
        <f>IF(AND(F23&gt;='Inputs &amp; Outputs'!B$13,F23&lt;'Inputs &amp; Outputs'!B$13+'Inputs &amp; Outputs'!B$19),1,0)</f>
        <v>1</v>
      </c>
      <c r="J23" s="55">
        <f>I23*'Inputs &amp; Outputs'!B$16*'Benefit Calculations'!G23*('Benefit Calculations'!C$4-'Benefit Calculations'!C$5)</f>
        <v>274.35889084295599</v>
      </c>
      <c r="K23" s="71">
        <f t="shared" si="3"/>
        <v>7.8631580384099106E-2</v>
      </c>
      <c r="L23" s="56">
        <f>K23*'Assumed Values'!$C$8</f>
        <v>590.36590552381608</v>
      </c>
      <c r="M23" s="57">
        <f t="shared" si="0"/>
        <v>163.24109240282513</v>
      </c>
      <c r="N23" s="55">
        <f>I23*'Inputs &amp; Outputs'!B$16*'Benefit Calculations'!G23*('Benefit Calculations'!D$4-'Benefit Calculations'!D$5)</f>
        <v>94.106545151648021</v>
      </c>
      <c r="O23" s="71">
        <f t="shared" si="4"/>
        <v>2.6971046380258563E-2</v>
      </c>
      <c r="P23" s="56">
        <f>ABS(O23*'Assumed Values'!$C$7)</f>
        <v>51.379843354392563</v>
      </c>
      <c r="Q23" s="57">
        <f t="shared" si="1"/>
        <v>14.206954836281147</v>
      </c>
      <c r="T23" s="68">
        <f t="shared" si="5"/>
        <v>7.133331161916856E-2</v>
      </c>
      <c r="U23" s="69">
        <f>T23*'Assumed Values'!$D$8</f>
        <v>0</v>
      </c>
    </row>
    <row r="24" spans="3:21">
      <c r="F24" s="54">
        <f t="shared" si="2"/>
        <v>2038</v>
      </c>
      <c r="G24" s="63">
        <f t="shared" si="6"/>
        <v>46606.941311235671</v>
      </c>
      <c r="H24" s="62">
        <f t="shared" si="8"/>
        <v>6.7592013278792162E-3</v>
      </c>
      <c r="I24" s="54">
        <f>IF(AND(F24&gt;='Inputs &amp; Outputs'!B$13,F24&lt;'Inputs &amp; Outputs'!B$13+'Inputs &amp; Outputs'!B$19),1,0)</f>
        <v>1</v>
      </c>
      <c r="J24" s="55">
        <f>I24*'Inputs &amp; Outputs'!B$16*'Benefit Calculations'!G24*('Benefit Calculations'!C$4-'Benefit Calculations'!C$5)</f>
        <v>276.21333782225713</v>
      </c>
      <c r="K24" s="71">
        <f t="shared" si="3"/>
        <v>7.9163067066644527E-2</v>
      </c>
      <c r="L24" s="56">
        <f>K24*'Assumed Values'!$C$8</f>
        <v>594.35630753636713</v>
      </c>
      <c r="M24" s="57">
        <f t="shared" si="0"/>
        <v>153.59296430968107</v>
      </c>
      <c r="N24" s="55">
        <f>I24*'Inputs &amp; Outputs'!B$16*'Benefit Calculations'!G24*('Benefit Calculations'!D$4-'Benefit Calculations'!D$5)</f>
        <v>94.742630236599169</v>
      </c>
      <c r="O24" s="71">
        <f t="shared" si="4"/>
        <v>2.7153349112766303E-2</v>
      </c>
      <c r="P24" s="56">
        <f>ABS(O24*'Assumed Values'!$C$7)</f>
        <v>51.727130059819807</v>
      </c>
      <c r="Q24" s="57">
        <f t="shared" si="1"/>
        <v>13.367273368481927</v>
      </c>
      <c r="T24" s="68">
        <f t="shared" si="5"/>
        <v>7.1815467833786853E-2</v>
      </c>
      <c r="U24" s="69">
        <f>T24*'Assumed Values'!$D$8</f>
        <v>0</v>
      </c>
    </row>
    <row r="25" spans="3:21">
      <c r="F25" s="54">
        <f t="shared" si="2"/>
        <v>2039</v>
      </c>
      <c r="G25" s="63">
        <f t="shared" si="6"/>
        <v>46921.96701083496</v>
      </c>
      <c r="H25" s="62">
        <f t="shared" si="8"/>
        <v>6.7592013278792162E-3</v>
      </c>
      <c r="I25" s="54">
        <f>IF(AND(F25&gt;='Inputs &amp; Outputs'!B$13,F25&lt;'Inputs &amp; Outputs'!B$13+'Inputs &amp; Outputs'!B$19),1,0)</f>
        <v>1</v>
      </c>
      <c r="J25" s="55">
        <f>I25*'Inputs &amp; Outputs'!B$16*'Benefit Calculations'!G25*('Benefit Calculations'!C$4-'Benefit Calculations'!C$5)</f>
        <v>278.08031938204329</v>
      </c>
      <c r="K25" s="71">
        <f t="shared" si="3"/>
        <v>7.9698146174680393E-2</v>
      </c>
      <c r="L25" s="56">
        <f>K25*'Assumed Values'!$C$8</f>
        <v>598.37368147950042</v>
      </c>
      <c r="M25" s="57">
        <f t="shared" si="0"/>
        <v>144.51507483924857</v>
      </c>
      <c r="N25" s="55">
        <f>I25*'Inputs &amp; Outputs'!B$16*'Benefit Calculations'!G25*('Benefit Calculations'!D$4-'Benefit Calculations'!D$5)</f>
        <v>95.383014748701157</v>
      </c>
      <c r="O25" s="71">
        <f t="shared" si="4"/>
        <v>2.7336884066145678E-2</v>
      </c>
      <c r="P25" s="56">
        <f>ABS(O25*'Assumed Values'!$C$7)</f>
        <v>52.07676414600752</v>
      </c>
      <c r="Q25" s="57">
        <f t="shared" si="1"/>
        <v>12.577220056433919</v>
      </c>
      <c r="T25" s="68">
        <f t="shared" si="5"/>
        <v>7.2300883039331257E-2</v>
      </c>
      <c r="U25" s="69">
        <f>T25*'Assumed Values'!$D$8</f>
        <v>0</v>
      </c>
    </row>
    <row r="26" spans="3:21">
      <c r="F26" s="54">
        <f t="shared" si="2"/>
        <v>2040</v>
      </c>
      <c r="G26" s="63">
        <f t="shared" si="6"/>
        <v>47239.122032561303</v>
      </c>
      <c r="H26" s="62">
        <f t="shared" si="8"/>
        <v>6.7592013278792162E-3</v>
      </c>
      <c r="I26" s="54">
        <f>IF(AND(F26&gt;='Inputs &amp; Outputs'!B$13,F26&lt;'Inputs &amp; Outputs'!B$13+'Inputs &amp; Outputs'!B$19),1,0)</f>
        <v>1</v>
      </c>
      <c r="J26" s="55">
        <f>I26*'Inputs &amp; Outputs'!B$16*'Benefit Calculations'!G26*('Benefit Calculations'!C$4-'Benefit Calculations'!C$5)</f>
        <v>279.9599202460675</v>
      </c>
      <c r="K26" s="71">
        <f t="shared" si="3"/>
        <v>8.0236841990133811E-2</v>
      </c>
      <c r="L26" s="56">
        <f>K26*'Assumed Values'!$C$8</f>
        <v>602.41820966192461</v>
      </c>
      <c r="M26" s="57">
        <f t="shared" si="0"/>
        <v>135.97372086448652</v>
      </c>
      <c r="N26" s="55">
        <f>I26*'Inputs &amp; Outputs'!B$16*'Benefit Calculations'!G26*('Benefit Calculations'!D$4-'Benefit Calculations'!D$5)</f>
        <v>96.027727748647692</v>
      </c>
      <c r="O26" s="71">
        <f t="shared" si="4"/>
        <v>2.752165956922565E-2</v>
      </c>
      <c r="P26" s="56">
        <f>ABS(O26*'Assumed Values'!$C$7)</f>
        <v>52.428761479374863</v>
      </c>
      <c r="Q26" s="57">
        <f t="shared" si="1"/>
        <v>11.833861699944295</v>
      </c>
      <c r="T26" s="68">
        <f t="shared" si="5"/>
        <v>7.2789579263977541E-2</v>
      </c>
      <c r="U26" s="69">
        <f>T26*'Assumed Values'!$D$8</f>
        <v>0</v>
      </c>
    </row>
    <row r="27" spans="3:21">
      <c r="F27" s="54">
        <f t="shared" si="2"/>
        <v>2041</v>
      </c>
      <c r="G27" s="63">
        <f t="shared" si="6"/>
        <v>47558.420768931639</v>
      </c>
      <c r="H27" s="62">
        <f t="shared" si="8"/>
        <v>6.7592013278792162E-3</v>
      </c>
      <c r="I27" s="54">
        <f>IF(AND(F27&gt;='Inputs &amp; Outputs'!B$13,F27&lt;'Inputs &amp; Outputs'!B$13+'Inputs &amp; Outputs'!B$19),1,0)</f>
        <v>1</v>
      </c>
      <c r="J27" s="55">
        <f>I27*'Inputs &amp; Outputs'!B$16*'Benefit Calculations'!G27*('Benefit Calculations'!C$4-'Benefit Calculations'!C$5)</f>
        <v>281.85222571074769</v>
      </c>
      <c r="K27" s="71">
        <f t="shared" si="3"/>
        <v>8.0779178959058368E-2</v>
      </c>
      <c r="L27" s="56">
        <f>K27*'Assumed Values'!$C$8</f>
        <v>606.4900756246102</v>
      </c>
      <c r="M27" s="57">
        <f t="shared" si="0"/>
        <v>127.93719123281352</v>
      </c>
      <c r="N27" s="55">
        <f>I27*'Inputs &amp; Outputs'!B$16*'Benefit Calculations'!G27*('Benefit Calculations'!D$4-'Benefit Calculations'!D$5)</f>
        <v>96.676798493559588</v>
      </c>
      <c r="O27" s="71">
        <f t="shared" si="4"/>
        <v>2.7707684007131399E-2</v>
      </c>
      <c r="P27" s="56">
        <f>ABS(O27*'Assumed Values'!$C$7)</f>
        <v>52.783138033585317</v>
      </c>
      <c r="Q27" s="57">
        <f t="shared" si="1"/>
        <v>11.134438461364951</v>
      </c>
      <c r="T27" s="68">
        <f t="shared" si="5"/>
        <v>7.3281578684794402E-2</v>
      </c>
      <c r="U27" s="69">
        <f>T27*'Assumed Values'!$D$8</f>
        <v>0</v>
      </c>
    </row>
    <row r="28" spans="3:21">
      <c r="F28" s="54">
        <f t="shared" si="2"/>
        <v>2042</v>
      </c>
      <c r="G28" s="63">
        <f t="shared" si="6"/>
        <v>47879.87770974484</v>
      </c>
      <c r="H28" s="62">
        <f t="shared" si="8"/>
        <v>6.7592013278792162E-3</v>
      </c>
      <c r="I28" s="54">
        <f>IF(AND(F28&gt;='Inputs &amp; Outputs'!B$13,F28&lt;'Inputs &amp; Outputs'!B$13+'Inputs &amp; Outputs'!B$19),1,0)</f>
        <v>0</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48203.507442739239</v>
      </c>
      <c r="H29" s="62">
        <f t="shared" si="8"/>
        <v>6.7592013278792162E-3</v>
      </c>
      <c r="I29" s="54">
        <f>IF(AND(F29&gt;='Inputs &amp; Outputs'!B$13,F29&lt;'Inputs &amp; Outputs'!B$13+'Inputs &amp; Outputs'!B$19),1,0)</f>
        <v>0</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48529.32465425464</v>
      </c>
      <c r="H30" s="62">
        <f t="shared" si="8"/>
        <v>6.7592013278792162E-3</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50531</v>
      </c>
      <c r="H31" s="62">
        <f t="shared" si="8"/>
        <v>6.7592013278792162E-3</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50872.549202299066</v>
      </c>
      <c r="H32" s="62">
        <f t="shared" si="8"/>
        <v>6.7592013278792162E-3</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51216.407004419845</v>
      </c>
      <c r="H33" s="62">
        <f t="shared" si="8"/>
        <v>6.7592013278792162E-3</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51562.589010653319</v>
      </c>
      <c r="H34" s="62">
        <f t="shared" si="8"/>
        <v>6.7592013278792162E-3</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51911.110930763018</v>
      </c>
      <c r="H35" s="62">
        <f t="shared" si="8"/>
        <v>6.7592013278792162E-3</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52261.988580697915</v>
      </c>
      <c r="H36" s="62">
        <f t="shared" si="8"/>
        <v>6.7592013278792162E-3</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5297.8187254530594</v>
      </c>
      <c r="K37" s="55">
        <f t="shared" ref="K37:Q37" si="9">SUM(K4:K36)</f>
        <v>1.5183610696592926</v>
      </c>
      <c r="L37" s="58">
        <f t="shared" si="9"/>
        <v>11399.85491100197</v>
      </c>
      <c r="M37" s="59">
        <f t="shared" si="9"/>
        <v>4861.0276631859269</v>
      </c>
      <c r="N37" s="55">
        <f t="shared" si="9"/>
        <v>1817.1797369507228</v>
      </c>
      <c r="O37" s="55">
        <f t="shared" si="9"/>
        <v>0.52080584711281053</v>
      </c>
      <c r="P37" s="55">
        <f t="shared" si="9"/>
        <v>992.13513874990417</v>
      </c>
      <c r="Q37" s="59">
        <f t="shared" si="9"/>
        <v>423.05769614906444</v>
      </c>
      <c r="T37" s="68">
        <f>SUM(T4:T36)</f>
        <v>1.3774328686177957</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115</v>
      </c>
      <c r="E2" s="92" t="s">
        <v>55</v>
      </c>
      <c r="F2" s="92" t="s">
        <v>116</v>
      </c>
      <c r="G2" s="92" t="s">
        <v>117</v>
      </c>
      <c r="H2" s="92" t="s">
        <v>118</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115</v>
      </c>
      <c r="E21" s="92" t="s">
        <v>55</v>
      </c>
      <c r="F21" s="92" t="s">
        <v>116</v>
      </c>
      <c r="G21" s="92" t="s">
        <v>117</v>
      </c>
      <c r="H21" s="92" t="s">
        <v>118</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115</v>
      </c>
      <c r="E2" s="92" t="s">
        <v>55</v>
      </c>
      <c r="F2" s="92" t="s">
        <v>116</v>
      </c>
      <c r="G2" s="92" t="s">
        <v>117</v>
      </c>
      <c r="H2" s="92" t="s">
        <v>118</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115</v>
      </c>
      <c r="E21" s="92" t="s">
        <v>55</v>
      </c>
      <c r="F21" s="92" t="s">
        <v>116</v>
      </c>
      <c r="G21" s="92" t="s">
        <v>117</v>
      </c>
      <c r="H21" s="92" t="s">
        <v>118</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FE3ECB-304B-4690-A358-C358B8248B05}"/>
</file>

<file path=customXml/itemProps2.xml><?xml version="1.0" encoding="utf-8"?>
<ds:datastoreItem xmlns:ds="http://schemas.openxmlformats.org/officeDocument/2006/customXml" ds:itemID="{A52F204C-664D-43EA-94A0-56493AAA9D60}"/>
</file>

<file path=customXml/itemProps3.xml><?xml version="1.0" encoding="utf-8"?>
<ds:datastoreItem xmlns:ds="http://schemas.openxmlformats.org/officeDocument/2006/customXml" ds:itemID="{8A3FBC5E-CF30-4CB1-8987-B0ACD582BAB1}"/>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2018-10-31T01:47:52Z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