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Grants\H-GAC 2018 Call for Projects\"/>
    </mc:Choice>
  </mc:AlternateContent>
  <bookViews>
    <workbookView xWindow="0" yWindow="0" windowWidth="28800" windowHeight="12435" tabRatio="763" firstSheet="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52511"/>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O36" i="15" s="1"/>
  <c r="O22" i="15"/>
  <c r="N22" i="15"/>
  <c r="O21" i="15"/>
  <c r="O20" i="15"/>
  <c r="O19" i="15"/>
  <c r="O18" i="15"/>
  <c r="O17" i="15"/>
  <c r="O16" i="15"/>
  <c r="O15" i="15"/>
  <c r="O14" i="15"/>
  <c r="B5" i="12"/>
  <c r="E15" i="12"/>
  <c r="E14" i="12"/>
  <c r="E13" i="12"/>
  <c r="E12" i="12"/>
  <c r="E11" i="12"/>
  <c r="E10" i="12"/>
  <c r="C11" i="2" l="1"/>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G11" i="7"/>
  <c r="H10" i="7"/>
  <c r="I10" i="7" s="1"/>
  <c r="J10" i="7" s="1"/>
  <c r="I18" i="5"/>
  <c r="H19" i="5"/>
  <c r="I19" i="5" s="1"/>
  <c r="J19" i="5"/>
  <c r="K19" i="5" s="1"/>
  <c r="G20" i="5"/>
  <c r="R12" i="12"/>
  <c r="O13" i="12"/>
  <c r="P12" i="12"/>
  <c r="M13" i="12"/>
  <c r="Q7" i="12" l="1"/>
  <c r="Q8" i="12" s="1"/>
  <c r="Q9" i="12" s="1"/>
  <c r="Q10" i="12" s="1"/>
  <c r="Q11" i="12" s="1"/>
  <c r="Q12" i="12" s="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M20" i="12"/>
  <c r="Q19" i="12" l="1"/>
  <c r="S12" i="12"/>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<sst xmlns="http://schemas.openxmlformats.org/spreadsheetml/2006/main" count="364" uniqueCount="207">
  <si>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</si>
  <si>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</si>
  <si>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</si>
  <si>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</si>
  <si>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</si>
  <si>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</si>
  <si>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</si>
  <si>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</si>
  <si>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</si>
  <si>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</si>
  <si>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</si>
  <si>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</si>
  <si>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</si>
  <si>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</si>
  <si>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</si>
  <si>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</si>
  <si>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</si>
  <si>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</si>
  <si>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</si>
  <si>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</si>
  <si>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</si>
  <si>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</si>
  <si>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</si>
  <si>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</si>
  <si>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</si>
  <si>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</si>
  <si>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</si>
  <si>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</si>
  <si>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</si>
  <si>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</si>
  <si>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</si>
  <si>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</si>
  <si>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</si>
  <si>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</si>
  <si>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</si>
  <si>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</si>
  <si>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</si>
  <si>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</si>
  <si>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</si>
  <si>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</si>
  <si>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</si>
  <si>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</si>
  <si>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</si>
  <si>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</si>
  <si>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</si>
  <si>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</si>
  <si>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</si>
  <si>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</si>
  <si>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</si>
  <si>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</si>
  <si>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</si>
  <si>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</si>
  <si>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</si>
  <si>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</si>
  <si>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</si>
  <si>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</si>
  <si>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</si>
  <si>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</si>
  <si>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</si>
  <si>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</si>
  <si>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</si>
  <si>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</si>
  <si>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</si>
  <si>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</si>
  <si>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</si>
  <si>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</si>
  <si>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</si>
  <si>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</si>
  <si>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</si>
  <si>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</si>
  <si>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</si>
  <si>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</si>
  <si>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</si>
  <si>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</si>
  <si>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</si>
  <si>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</si>
  <si>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</si>
  <si>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</si>
  <si>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</si>
  <si>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</si>
  <si>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</si>
  <si>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</si>
  <si>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</si>
  <si>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</si>
  <si>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</si>
  <si>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</si>
  <si>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</si>
  <si>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</si>
  <si>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</si>
  <si>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</si>
  <si>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</si>
  <si>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</si>
  <si>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</si>
  <si>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</si>
  <si>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</si>
  <si>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</si>
  <si>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</si>
  <si>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</si>
  <si>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</si>
  <si>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</si>
  <si>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</si>
  <si>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</si>
  <si>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</si>
  <si>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</si>
  <si>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</si>
  <si>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</si>
  <si>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</si>
  <si>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</si>
  <si>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</si>
  <si>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</si>
  <si>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</si>
  <si>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</si>
  <si>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</si>
  <si>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</si>
  <si>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</si>
  <si>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</si>
  <si>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</si>
  <si>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</si>
  <si>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</si>
  <si>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</si>
  <si>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</si>
  <si>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</si>
  <si>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</si>
  <si>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</si>
  <si>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</si>
  <si>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</si>
  <si>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</si>
  <si>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</si>
  <si>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</si>
  <si>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</si>
  <si>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</si>
  <si>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</si>
  <si>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</si>
  <si>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</si>
  <si>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</si>
  <si>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</si>
  <si>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</si>
  <si>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</si>
  <si>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</si>
  <si>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</si>
  <si>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</si>
  <si>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</si>
  <si>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</si>
  <si>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</si>
  <si>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</si>
  <si>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</si>
  <si>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</si>
  <si>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</si>
  <si>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</si>
  <si>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</si>
  <si>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</si>
  <si>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</si>
  <si>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</si>
  <si>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</si>
  <si>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</si>
  <si>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</si>
  <si>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</si>
  <si>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</si>
  <si>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</si>
  <si>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</si>
  <si>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</si>
  <si>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</si>
  <si>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</si>
  <si>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</si>
  <si>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</si>
  <si>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</si>
  <si>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</si>
  <si>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</si>
  <si>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</si>
  <si>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</si>
  <si>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</si>
  <si>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</si>
  <si>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</si>
  <si>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</si>
  <si>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</si>
  <si>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</si>
  <si>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</si>
  <si>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</si>
  <si>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</si>
  <si>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</si>
  <si>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</si>
  <si>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</si>
  <si>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</si>
  <si>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</si>
  <si>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</si>
  <si>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</si>
  <si>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</si>
  <si>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</si>
  <si>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</si>
  <si>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</si>
  <si>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</si>
  <si>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</si>
  <si>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</si>
  <si>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</si>
  <si>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</si>
  <si>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</si>
  <si>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</si>
  <si>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</si>
  <si>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</si>
  <si>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</si>
  <si>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</si>
  <si>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</si>
  <si>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</si>
  <si>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City of Stafford Sidewalk Connectivity Project</t>
  </si>
  <si>
    <t xml:space="preserve">Alternate 90A </t>
  </si>
  <si>
    <t>Murphy Road/FM 1092</t>
  </si>
  <si>
    <t>Stafford Road/Cash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</si>
</sst>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2">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3" fontId="0" fillId="2" borderId="1" xfId="0" applyNumberFormat="1" applyFill="1" applyBorder="1" applyAlignment="1" applyProtection="1">
      <alignment wrapText="1"/>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xmlns=""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5" t="s">
        <v>34</v>
      </c>
      <c r="E6" s="156"/>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5" t="s">
        <v>34</v>
      </c>
      <c r="E6" s="156"/>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5" t="s">
        <v>35</v>
      </c>
      <c r="E8" s="156"/>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K55"/>
  <sheetViews>
    <sheetView tabSelected="1" zoomScale="115" zoomScaleNormal="115" workbookViewId="0">
      <selection activeCell="E14" sqref="E14"/>
    </sheetView>
  </sheetViews>
  <sheetFormatPr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75" x14ac:dyDescent="0.25">
      <c r="B6" s="139" t="s">
        <v>155</v>
      </c>
      <c r="C6" s="104" t="s">
        <v>203</v>
      </c>
    </row>
    <row r="7" spans="2:6" x14ac:dyDescent="0.25">
      <c r="B7" s="6" t="s">
        <v>115</v>
      </c>
      <c r="C7" s="6" t="s">
        <v>117</v>
      </c>
      <c r="E7" s="6"/>
      <c r="F7" s="136" t="s">
        <v>168</v>
      </c>
    </row>
    <row r="8" spans="2:6" x14ac:dyDescent="0.25">
      <c r="B8" s="6" t="s">
        <v>124</v>
      </c>
      <c r="C8" s="6" t="s">
        <v>126</v>
      </c>
      <c r="E8" s="140"/>
      <c r="F8" s="136" t="s">
        <v>164</v>
      </c>
    </row>
    <row r="9" spans="2:6" x14ac:dyDescent="0.25">
      <c r="B9" s="6" t="s">
        <v>156</v>
      </c>
      <c r="C9" s="6" t="s">
        <v>206</v>
      </c>
      <c r="E9" s="141"/>
      <c r="F9" s="136" t="s">
        <v>187</v>
      </c>
    </row>
    <row r="10" spans="2:6" x14ac:dyDescent="0.25">
      <c r="B10" s="6" t="s">
        <v>113</v>
      </c>
      <c r="C10" s="6" t="s">
        <v>204</v>
      </c>
      <c r="E10" s="142"/>
      <c r="F10" s="136" t="s">
        <v>169</v>
      </c>
    </row>
    <row r="11" spans="2:6" x14ac:dyDescent="0.25">
      <c r="B11" s="6" t="s">
        <v>114</v>
      </c>
      <c r="C11" s="6" t="s">
        <v>205</v>
      </c>
    </row>
    <row r="12" spans="2:6" x14ac:dyDescent="0.25">
      <c r="B12" s="6" t="s">
        <v>77</v>
      </c>
      <c r="C12" s="6">
        <v>103</v>
      </c>
    </row>
    <row r="13" spans="2:6" x14ac:dyDescent="0.25">
      <c r="B13" s="6" t="s">
        <v>78</v>
      </c>
      <c r="C13" s="6"/>
    </row>
    <row r="14" spans="2:6" x14ac:dyDescent="0.25">
      <c r="B14" s="78"/>
      <c r="C14" s="78"/>
    </row>
    <row r="15" spans="2:6" x14ac:dyDescent="0.25">
      <c r="B15" s="138" t="s">
        <v>159</v>
      </c>
    </row>
    <row r="16" spans="2:6" x14ac:dyDescent="0.25">
      <c r="B16" s="6" t="s">
        <v>102</v>
      </c>
      <c r="C16" s="47">
        <v>2021</v>
      </c>
    </row>
    <row r="17" spans="2:11" ht="30" x14ac:dyDescent="0.25">
      <c r="B17" s="6" t="s">
        <v>173</v>
      </c>
      <c r="C17" s="130" t="s">
        <v>182</v>
      </c>
    </row>
    <row r="18" spans="2:11" x14ac:dyDescent="0.25">
      <c r="B18" s="141" t="s">
        <v>101</v>
      </c>
      <c r="C18" s="131">
        <f>VLOOKUP(C17,'Service Life'!C5:D15,2,FALSE)</f>
        <v>10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202</v>
      </c>
      <c r="C22" s="154">
        <v>8114</v>
      </c>
      <c r="E22" s="143"/>
      <c r="F22" s="83"/>
    </row>
    <row r="23" spans="2:11" x14ac:dyDescent="0.25">
      <c r="B23" s="6" t="s">
        <v>172</v>
      </c>
      <c r="C23" s="6">
        <v>1.9</v>
      </c>
      <c r="E23" s="143"/>
      <c r="F23" s="83"/>
    </row>
    <row r="24" spans="2:11" x14ac:dyDescent="0.25">
      <c r="E24" s="143"/>
      <c r="F24" s="83"/>
    </row>
    <row r="25" spans="2:11" x14ac:dyDescent="0.25">
      <c r="I25" s="145"/>
      <c r="J25" s="146"/>
      <c r="K25" s="147"/>
    </row>
    <row r="26" spans="2:11" x14ac:dyDescent="0.25">
      <c r="B26" s="148" t="s">
        <v>195</v>
      </c>
      <c r="C26" s="133">
        <v>3788</v>
      </c>
      <c r="I26" s="145"/>
      <c r="J26" s="146"/>
      <c r="K26" s="147"/>
    </row>
    <row r="27" spans="2:11" x14ac:dyDescent="0.25">
      <c r="B27" s="148" t="s">
        <v>196</v>
      </c>
      <c r="C27" s="133">
        <v>21590</v>
      </c>
      <c r="I27" s="145"/>
      <c r="J27" s="146"/>
      <c r="K27" s="147"/>
    </row>
    <row r="28" spans="2:11" x14ac:dyDescent="0.25">
      <c r="B28" s="148" t="s">
        <v>200</v>
      </c>
      <c r="C28" s="133">
        <v>4051</v>
      </c>
      <c r="I28" s="145"/>
      <c r="J28" s="146"/>
      <c r="K28" s="147"/>
    </row>
    <row r="29" spans="2:11" x14ac:dyDescent="0.25">
      <c r="B29" s="148" t="s">
        <v>197</v>
      </c>
      <c r="C29" s="133">
        <v>21590</v>
      </c>
      <c r="I29" s="145"/>
      <c r="J29" s="146"/>
      <c r="K29" s="147"/>
    </row>
    <row r="30" spans="2:11" x14ac:dyDescent="0.25">
      <c r="B30" s="148" t="s">
        <v>201</v>
      </c>
      <c r="C30" s="133">
        <v>6874</v>
      </c>
      <c r="F30" s="149"/>
      <c r="H30" s="149"/>
      <c r="J30" s="146"/>
      <c r="K30" s="147"/>
    </row>
    <row r="31" spans="2:11" x14ac:dyDescent="0.25">
      <c r="B31" s="148" t="s">
        <v>198</v>
      </c>
      <c r="C31" s="133">
        <v>21590</v>
      </c>
      <c r="K31" s="147"/>
    </row>
    <row r="33" spans="2:9" ht="18.75" x14ac:dyDescent="0.3">
      <c r="B33" s="134" t="s">
        <v>88</v>
      </c>
      <c r="C33" s="135"/>
      <c r="D33" s="135"/>
      <c r="E33" s="135"/>
      <c r="F33" s="135"/>
      <c r="I33" s="149"/>
    </row>
    <row r="35" spans="2:9" x14ac:dyDescent="0.25">
      <c r="B35" s="150" t="s">
        <v>86</v>
      </c>
    </row>
    <row r="36" spans="2:9" x14ac:dyDescent="0.25">
      <c r="B36" s="142" t="s">
        <v>112</v>
      </c>
      <c r="C36" s="153">
        <f>Calculations!T37</f>
        <v>10763.412432366618</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xm:sqref>
        </x14:dataValidation>
        <x14:dataValidation type="list" allowBlank="1" showInputMessage="1" showErrorMessage="1">
          <x14:formula1>
            <xm:f>'CRASH RATES'!$D$3:$D$4</xm:f>
          </x14:formula1>
          <xm:sqref>C8</xm:sqref>
        </x14:dataValidation>
        <x14:dataValidation type="list" allowBlank="1" showInputMessage="1" showErrorMessage="1">
          <x14:formula1>
            <xm:f>Calculations!$M$7:$M$36</xm:f>
          </x14:formula1>
          <xm:sqref>C16</xm:sqref>
        </x14:dataValidation>
        <x14:dataValidation type="list" allowBlank="1" showInputMessage="1" showErrorMessage="1">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7" t="s">
        <v>171</v>
      </c>
      <c r="H3" s="157"/>
      <c r="I3" s="157"/>
      <c r="J3" s="157"/>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5837.4100719424468</v>
      </c>
      <c r="G4" s="158" t="s">
        <v>170</v>
      </c>
      <c r="H4" s="158"/>
      <c r="I4" s="158"/>
      <c r="J4" s="116">
        <f>SUMPRODUCT(Possible_Crash_Reductions,'Value of Statistical Life'!E5:E11)</f>
        <v>1653304.303118465</v>
      </c>
      <c r="M4" s="60">
        <v>2018</v>
      </c>
      <c r="N4" s="61" t="s">
        <v>85</v>
      </c>
      <c r="O4" s="62">
        <f>MIN(B13,1)</f>
        <v>0.17545159796201945</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10</v>
      </c>
      <c r="D5" s="101" t="s">
        <v>161</v>
      </c>
      <c r="E5" s="100">
        <f>($E$4*'Inputs &amp; Outputs'!$C$23)*2</f>
        <v>22182.158273381297</v>
      </c>
      <c r="M5" s="13">
        <f t="shared" ref="M5:M36" si="1">M4+1</f>
        <v>2019</v>
      </c>
      <c r="N5" s="53">
        <f t="shared" ref="N5:N11" si="2">IF(ISERROR(_2025_2045_Demand_Growth),_2018_2045_Demand_Growth,_2018_2025_Demand_Growth)</f>
        <v>9.635495169086683E-3</v>
      </c>
      <c r="O5" s="55">
        <f t="shared" ref="O5:O11" si="3">O4*(1+IFERROR(_2018_2025_V_C_Growth,_2018_2045_V_C_Growth))</f>
        <v>0.17714216098659102</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25">
      <c r="A6" s="16" t="s">
        <v>4</v>
      </c>
      <c r="B6" s="16">
        <v>1.39</v>
      </c>
      <c r="D6" s="101" t="s">
        <v>162</v>
      </c>
      <c r="E6" s="100">
        <f>$E$5*$B$7</f>
        <v>5767361.1510791369</v>
      </c>
      <c r="M6" s="60">
        <f t="shared" si="1"/>
        <v>2020</v>
      </c>
      <c r="N6" s="53">
        <f t="shared" si="2"/>
        <v>9.635495169086683E-3</v>
      </c>
      <c r="O6" s="55">
        <f t="shared" si="3"/>
        <v>0.1788490134230189</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25">
      <c r="A7" s="16" t="s">
        <v>174</v>
      </c>
      <c r="B7" s="16">
        <v>260</v>
      </c>
      <c r="M7" s="13">
        <f t="shared" si="1"/>
        <v>2021</v>
      </c>
      <c r="N7" s="53">
        <f t="shared" si="2"/>
        <v>9.635495169086683E-3</v>
      </c>
      <c r="O7" s="55">
        <f t="shared" si="3"/>
        <v>0.18057231222785231</v>
      </c>
      <c r="P7" s="58">
        <f t="shared" si="4"/>
        <v>1</v>
      </c>
      <c r="Q7" s="119">
        <f>IF(M7=Year_Open_to_Traffic?,Calculations!$J$4,Calculations!Q6+Calculations!Q6*Calculations!N7*P7)</f>
        <v>1653304.303118465</v>
      </c>
      <c r="R7" s="66">
        <f t="shared" si="0"/>
        <v>1</v>
      </c>
      <c r="S7" s="119">
        <f t="shared" si="5"/>
        <v>1653.304303118465</v>
      </c>
      <c r="T7" s="40">
        <f>S7/(1+'Assumed Values'!$C$6)^(Calculations!M7-'Assumed Values'!$C$5)</f>
        <v>1349.5887924901124</v>
      </c>
    </row>
    <row r="8" spans="1:20" x14ac:dyDescent="0.25">
      <c r="M8" s="60">
        <f t="shared" si="1"/>
        <v>2022</v>
      </c>
      <c r="N8" s="53">
        <f t="shared" si="2"/>
        <v>9.635495169086683E-3</v>
      </c>
      <c r="O8" s="55">
        <f t="shared" si="3"/>
        <v>0.18231221586999458</v>
      </c>
      <c r="P8" s="58">
        <f t="shared" si="4"/>
        <v>1</v>
      </c>
      <c r="Q8" s="119">
        <f>IF(M8=Year_Open_to_Traffic?,Calculations!$J$4,Calculations!Q7+Calculations!Q7*Calculations!N8*P8)</f>
        <v>1669234.7087441932</v>
      </c>
      <c r="R8" s="66">
        <f t="shared" si="0"/>
        <v>1</v>
      </c>
      <c r="S8" s="119">
        <f t="shared" si="5"/>
        <v>1669.2347087441931</v>
      </c>
      <c r="T8" s="40">
        <f>S8/(1+'Assumed Values'!$C$6)^(Calculations!M8-'Assumed Values'!$C$5)</f>
        <v>1273.4511670844902</v>
      </c>
    </row>
    <row r="9" spans="1:20" x14ac:dyDescent="0.25">
      <c r="A9" s="105" t="s">
        <v>15</v>
      </c>
      <c r="B9" s="90"/>
      <c r="D9" s="108" t="s">
        <v>139</v>
      </c>
      <c r="E9" s="82"/>
      <c r="F9" s="87"/>
      <c r="M9" s="13">
        <f t="shared" si="1"/>
        <v>2023</v>
      </c>
      <c r="N9" s="53">
        <f t="shared" si="2"/>
        <v>9.635495169086683E-3</v>
      </c>
      <c r="O9" s="55">
        <f t="shared" si="3"/>
        <v>0.18406888434527541</v>
      </c>
      <c r="P9" s="58">
        <f t="shared" si="4"/>
        <v>1</v>
      </c>
      <c r="Q9" s="119">
        <f>IF(M9=Year_Open_to_Traffic?,Calculations!$J$4,Calculations!Q8+Calculations!Q8*Calculations!N9*P9)</f>
        <v>1685318.6117163696</v>
      </c>
      <c r="R9" s="66">
        <f t="shared" si="0"/>
        <v>1</v>
      </c>
      <c r="S9" s="119">
        <f t="shared" si="5"/>
        <v>1685.3186117163696</v>
      </c>
      <c r="T9" s="40">
        <f>S9/(1+'Assumed Values'!$C$6)^(Calculations!M9-'Assumed Values'!$C$5)</f>
        <v>1201.6088781803742</v>
      </c>
    </row>
    <row r="10" spans="1:20" x14ac:dyDescent="0.25">
      <c r="A10" s="16" t="s">
        <v>76</v>
      </c>
      <c r="B10" s="43">
        <f>(_2025_Volume/'Inputs &amp; Outputs'!C26)^(1/(2025-2018))-1</f>
        <v>9.635495169086683E-3</v>
      </c>
      <c r="D10" s="64" t="s">
        <v>133</v>
      </c>
      <c r="E10" s="100">
        <f>IF('Inputs &amp; Outputs'!$C$8='CRASH RATES'!$D$3, VLOOKUP('Inputs &amp; Outputs'!$C$7,'CRASH RATES'!$C$14:$J$21,3,FALSE), VLOOKUP('Inputs &amp; Outputs'!$C$7,'CRASH RATES'!$C$28:$J$35,3,FALSE))</f>
        <v>0.99344502357157671</v>
      </c>
      <c r="F10" s="83"/>
      <c r="M10" s="60">
        <f t="shared" si="1"/>
        <v>2024</v>
      </c>
      <c r="N10" s="53">
        <f t="shared" si="2"/>
        <v>9.635495169086683E-3</v>
      </c>
      <c r="O10" s="55">
        <f t="shared" si="3"/>
        <v>0.18584247919116348</v>
      </c>
      <c r="P10" s="58">
        <f t="shared" si="4"/>
        <v>1</v>
      </c>
      <c r="Q10" s="119">
        <f>IF(M10=Year_Open_to_Traffic?,Calculations!$J$4,Calculations!Q9+Calculations!Q9*Calculations!N10*P10)</f>
        <v>1701557.4910579345</v>
      </c>
      <c r="R10" s="66">
        <f t="shared" si="0"/>
        <v>1</v>
      </c>
      <c r="S10" s="119">
        <f t="shared" si="5"/>
        <v>1701.5574910579344</v>
      </c>
      <c r="T10" s="40">
        <f>S10/(1+'Assumed Values'!$C$6)^(Calculations!M10-'Assumed Values'!$C$5)</f>
        <v>1133.8196025431896</v>
      </c>
    </row>
    <row r="11" spans="1:20" x14ac:dyDescent="0.25">
      <c r="A11" s="16" t="s">
        <v>105</v>
      </c>
      <c r="B11" s="43">
        <f>(_2045_Volume/_2025_Volume)^(1/(2045-2025))-1</f>
        <v>2.679173500740939E-2</v>
      </c>
      <c r="D11" s="64" t="s">
        <v>134</v>
      </c>
      <c r="E11" s="100">
        <f>IF('Inputs &amp; Outputs'!$C$8='CRASH RATES'!$D$3, VLOOKUP('Inputs &amp; Outputs'!$C$7,'CRASH RATES'!$C$14:$J$21,4,FALSE), VLOOKUP('Inputs &amp; Outputs'!$C$7,'CRASH RATES'!$C$28:$J$35,4,FALSE))</f>
        <v>5.5495894420205314</v>
      </c>
      <c r="F11" s="83"/>
      <c r="M11" s="13">
        <f t="shared" si="1"/>
        <v>2025</v>
      </c>
      <c r="N11" s="53">
        <f t="shared" si="2"/>
        <v>9.635495169086683E-3</v>
      </c>
      <c r="O11" s="55">
        <f t="shared" si="3"/>
        <v>0.18763316350162101</v>
      </c>
      <c r="P11" s="58">
        <f t="shared" si="4"/>
        <v>1</v>
      </c>
      <c r="Q11" s="119">
        <f>IF(M11=Year_Open_to_Traffic?,Calculations!$J$4,Calculations!Q10+Calculations!Q10*Calculations!N11*P11)</f>
        <v>1717952.8400429464</v>
      </c>
      <c r="R11" s="66">
        <f t="shared" si="0"/>
        <v>1</v>
      </c>
      <c r="S11" s="119">
        <f t="shared" si="5"/>
        <v>1717.9528400429465</v>
      </c>
      <c r="T11" s="40">
        <f>S11/(1+'Assumed Values'!$C$6)^(Calculations!M11-'Assumed Values'!$C$5)</f>
        <v>1069.8546877066451</v>
      </c>
    </row>
    <row r="12" spans="1:20" x14ac:dyDescent="0.25">
      <c r="A12" s="16" t="s">
        <v>106</v>
      </c>
      <c r="B12" s="43">
        <f>(_2045_Volume/'Inputs &amp; Outputs'!C26)^(1/(2045-2018))-1</f>
        <v>2.2316025701218045E-2</v>
      </c>
      <c r="D12" s="64" t="s">
        <v>135</v>
      </c>
      <c r="E12" s="100">
        <f>IF('Inputs &amp; Outputs'!$C$8='CRASH RATES'!$D$3, VLOOKUP('Inputs &amp; Outputs'!$C$7,'CRASH RATES'!$C$14:$J$21,5,FALSE), VLOOKUP('Inputs &amp; Outputs'!$C$7,'CRASH RATES'!$C$28:$J$35,5,FALSE))</f>
        <v>33.605847176679887</v>
      </c>
      <c r="F12" s="83"/>
      <c r="M12" s="60">
        <f t="shared" si="1"/>
        <v>2026</v>
      </c>
      <c r="N12" s="53">
        <f t="shared" ref="N12:N36" si="6">IFERROR(_2025_2045_Demand_Growth,_2018_2045_Demand_Growth)</f>
        <v>2.679173500740939E-2</v>
      </c>
      <c r="O12" s="55">
        <f t="shared" ref="O12:O36" si="7">O11*(1+IFERROR(_2025_2040_V_C_Growth,_2018_2045_V_C_Growth))</f>
        <v>0.19266018149675837</v>
      </c>
      <c r="P12" s="58">
        <f t="shared" si="4"/>
        <v>1</v>
      </c>
      <c r="Q12" s="119">
        <f>IF(M12=Year_Open_to_Traffic?,Calculations!$J$4,Calculations!Q11+Calculations!Q11*Calculations!N12*P12)</f>
        <v>1763979.7772886034</v>
      </c>
      <c r="R12" s="66">
        <f t="shared" si="0"/>
        <v>1</v>
      </c>
      <c r="S12" s="119">
        <f t="shared" si="5"/>
        <v>1763.9797772886034</v>
      </c>
      <c r="T12" s="40">
        <f>S12/(1+'Assumed Values'!$C$6)^(Calculations!M12-'Assumed Values'!$C$5)</f>
        <v>1026.6522906505759</v>
      </c>
    </row>
    <row r="13" spans="1:20" x14ac:dyDescent="0.25">
      <c r="A13" s="16" t="s">
        <v>75</v>
      </c>
      <c r="B13" s="21">
        <f>'Inputs &amp; Outputs'!C26/_2018_Capacity</f>
        <v>0.17545159796201945</v>
      </c>
      <c r="D13" s="64" t="s">
        <v>136</v>
      </c>
      <c r="E13" s="100">
        <f>IF('Inputs &amp; Outputs'!$C$8='CRASH RATES'!$D$3, VLOOKUP('Inputs &amp; Outputs'!$C$7,'CRASH RATES'!$C$14:$J$21,6,FALSE), VLOOKUP('Inputs &amp; Outputs'!$C$7,'CRASH RATES'!$C$28:$J$35,6,FALSE))</f>
        <v>63.237914259073463</v>
      </c>
      <c r="F13" s="83"/>
      <c r="M13" s="13">
        <f t="shared" si="1"/>
        <v>2027</v>
      </c>
      <c r="N13" s="53">
        <f t="shared" si="6"/>
        <v>2.679173500740939E-2</v>
      </c>
      <c r="O13" s="55">
        <f t="shared" si="7"/>
        <v>0.19782188202589893</v>
      </c>
      <c r="P13" s="58">
        <f t="shared" si="4"/>
        <v>1</v>
      </c>
      <c r="Q13" s="119">
        <f>IF(M13=Year_Open_to_Traffic?,Calculations!$J$4,Calculations!Q12+Calculations!Q12*Calculations!N13*P13)</f>
        <v>1811239.8560401488</v>
      </c>
      <c r="R13" s="66">
        <f t="shared" si="0"/>
        <v>1</v>
      </c>
      <c r="S13" s="119">
        <f t="shared" si="5"/>
        <v>1811.2398560401487</v>
      </c>
      <c r="T13" s="40">
        <f>S13/(1+'Assumed Values'!$C$6)^(Calculations!M13-'Assumed Values'!$C$5)</f>
        <v>985.19447361349148</v>
      </c>
    </row>
    <row r="14" spans="1:20" x14ac:dyDescent="0.25">
      <c r="A14" s="16" t="s">
        <v>74</v>
      </c>
      <c r="B14" s="21">
        <f>_2025_Volume/_2025_Capacity</f>
        <v>0.18763316350162113</v>
      </c>
      <c r="D14" s="64" t="s">
        <v>137</v>
      </c>
      <c r="E14" s="100">
        <f>IF('Inputs &amp; Outputs'!$C$8='CRASH RATES'!$D$3, VLOOKUP('Inputs &amp; Outputs'!$C$7,'CRASH RATES'!$C$14:$J$21,7,FALSE), VLOOKUP('Inputs &amp; Outputs'!$C$7,'CRASH RATES'!$C$28:$J$35,7,FALSE))</f>
        <v>637.62042150819855</v>
      </c>
      <c r="F14" s="83"/>
      <c r="M14" s="60">
        <f>M13+1</f>
        <v>2028</v>
      </c>
      <c r="N14" s="53">
        <f t="shared" si="6"/>
        <v>2.679173500740939E-2</v>
      </c>
      <c r="O14" s="55">
        <f>O13*(1+IFERROR(_2025_2040_V_C_Growth,_2018_2045_V_C_Growth))</f>
        <v>0.2031218734678038</v>
      </c>
      <c r="P14" s="58">
        <f t="shared" si="4"/>
        <v>1</v>
      </c>
      <c r="Q14" s="119">
        <f>IF(M14=Year_Open_to_Traffic?,Calculations!$J$4,Calculations!Q13+Calculations!Q13*Calculations!N14*P14)</f>
        <v>1859766.1142980347</v>
      </c>
      <c r="R14" s="66">
        <f t="shared" si="0"/>
        <v>1</v>
      </c>
      <c r="S14" s="119">
        <f t="shared" si="5"/>
        <v>1859.7661142980346</v>
      </c>
      <c r="T14" s="40">
        <f>S14/(1+'Assumed Values'!$C$6)^(Calculations!M14-'Assumed Values'!$C$5)</f>
        <v>945.41078773954052</v>
      </c>
    </row>
    <row r="15" spans="1:20" x14ac:dyDescent="0.25">
      <c r="A15" s="16" t="s">
        <v>140</v>
      </c>
      <c r="B15" s="21">
        <f>_2045_Volume/_2045_Capacity</f>
        <v>0.31838814265863824</v>
      </c>
      <c r="D15" s="64" t="s">
        <v>138</v>
      </c>
      <c r="E15" s="100">
        <f>IF('Inputs &amp; Outputs'!$C$8='CRASH RATES'!$D$3, VLOOKUP('Inputs &amp; Outputs'!$C$7,'CRASH RATES'!$C$14:$J$21,8,FALSE), VLOOKUP('Inputs &amp; Outputs'!$C$7,'CRASH RATES'!$C$28:$J$35,8,FALSE))</f>
        <v>27.199839610890752</v>
      </c>
      <c r="F15" s="83"/>
      <c r="M15" s="13">
        <f>M14+1</f>
        <v>2029</v>
      </c>
      <c r="N15" s="53">
        <f t="shared" si="6"/>
        <v>2.679173500740939E-2</v>
      </c>
      <c r="O15" s="55">
        <f>O14*(1+IFERROR(_2025_2040_V_C_Growth,_2018_2045_V_C_Growth))</f>
        <v>0.20856386087596174</v>
      </c>
      <c r="P15" s="58">
        <f t="shared" si="4"/>
        <v>1</v>
      </c>
      <c r="Q15" s="119">
        <f>IF(M15=Year_Open_to_Traffic?,Calculations!$J$4,Calculations!Q14+Calculations!Q14*Calculations!N15*P15)</f>
        <v>1909592.4752080671</v>
      </c>
      <c r="R15" s="66">
        <f t="shared" si="0"/>
        <v>1</v>
      </c>
      <c r="S15" s="119">
        <f t="shared" si="5"/>
        <v>1909.5924752080671</v>
      </c>
      <c r="T15" s="40">
        <f>S15/(1+'Assumed Values'!$C$6)^(Calculations!M15-'Assumed Values'!$C$5)</f>
        <v>907.23362900729387</v>
      </c>
    </row>
    <row r="16" spans="1:20" x14ac:dyDescent="0.25">
      <c r="A16" s="16" t="s">
        <v>80</v>
      </c>
      <c r="B16" s="43">
        <f>(B14/B13)^(1/(2025-2018))-1</f>
        <v>9.635495169086683E-3</v>
      </c>
      <c r="M16" s="60">
        <f t="shared" si="1"/>
        <v>2030</v>
      </c>
      <c r="N16" s="53">
        <f t="shared" si="6"/>
        <v>2.679173500740939E-2</v>
      </c>
      <c r="O16" s="55">
        <f t="shared" si="7"/>
        <v>0.21415164856867269</v>
      </c>
      <c r="P16" s="58">
        <f t="shared" si="4"/>
        <v>1</v>
      </c>
      <c r="Q16" s="119">
        <f>IF(M16=Year_Open_to_Traffic?,Calculations!$J$4,Calculations!Q15+Calculations!Q15*Calculations!N16*P16)</f>
        <v>1960753.7707759845</v>
      </c>
      <c r="R16" s="66">
        <f t="shared" si="0"/>
        <v>1</v>
      </c>
      <c r="S16" s="119">
        <f t="shared" si="5"/>
        <v>1960.7537707759845</v>
      </c>
      <c r="T16" s="40">
        <f>S16/(1+'Assumed Values'!$C$6)^(Calculations!M16-'Assumed Values'!$C$5)</f>
        <v>870.59812335090442</v>
      </c>
    </row>
    <row r="17" spans="1:20" x14ac:dyDescent="0.25">
      <c r="A17" s="16" t="s">
        <v>107</v>
      </c>
      <c r="B17" s="43">
        <f>(B15/B14)^(1/(2045-2025))-1</f>
        <v>2.679173500740939E-2</v>
      </c>
      <c r="M17" s="13">
        <f t="shared" si="1"/>
        <v>2031</v>
      </c>
      <c r="N17" s="53">
        <f t="shared" si="6"/>
        <v>2.679173500740939E-2</v>
      </c>
      <c r="O17" s="55">
        <f t="shared" si="7"/>
        <v>0.21988914278852442</v>
      </c>
      <c r="P17" s="58">
        <f t="shared" si="4"/>
        <v>1</v>
      </c>
      <c r="Q17" s="119">
        <f>IF(M17=Year_Open_to_Traffic?,Calculations!$J$4,Calculations!Q16+Calculations!Q16*Calculations!N17*P17)</f>
        <v>2013285.7662173933</v>
      </c>
      <c r="R17" s="66">
        <f t="shared" si="0"/>
        <v>0</v>
      </c>
      <c r="S17" s="119">
        <f t="shared" si="5"/>
        <v>0</v>
      </c>
      <c r="T17" s="40">
        <f>S17/(1+'Assumed Values'!$C$6)^(Calculations!M17-'Assumed Values'!$C$5)</f>
        <v>0</v>
      </c>
    </row>
    <row r="18" spans="1:20" x14ac:dyDescent="0.25">
      <c r="A18" s="16" t="s">
        <v>108</v>
      </c>
      <c r="B18" s="43">
        <f>(B15/B13)^(1/(2045-2018))-1</f>
        <v>2.2316025701218045E-2</v>
      </c>
      <c r="D18" s="109" t="s">
        <v>175</v>
      </c>
      <c r="E18" s="82"/>
      <c r="M18" s="60">
        <f t="shared" si="1"/>
        <v>2032</v>
      </c>
      <c r="N18" s="53">
        <f t="shared" si="6"/>
        <v>2.679173500740939E-2</v>
      </c>
      <c r="O18" s="55">
        <f t="shared" si="7"/>
        <v>0.22578035443312097</v>
      </c>
      <c r="P18" s="58">
        <f t="shared" si="4"/>
        <v>1</v>
      </c>
      <c r="Q18" s="119">
        <f>IF(M18=Year_Open_to_Traffic?,Calculations!$J$4,Calculations!Q17+Calculations!Q17*Calculations!N18*P18)</f>
        <v>2067225.1849600789</v>
      </c>
      <c r="R18" s="66">
        <f t="shared" si="0"/>
        <v>0</v>
      </c>
      <c r="S18" s="119">
        <f t="shared" si="5"/>
        <v>0</v>
      </c>
      <c r="T18" s="40">
        <f>S18/(1+'Assumed Values'!$C$6)^(Calculations!M18-'Assumed Values'!$C$5)</f>
        <v>0</v>
      </c>
    </row>
    <row r="19" spans="1:20" x14ac:dyDescent="0.25">
      <c r="D19" s="64" t="s">
        <v>89</v>
      </c>
      <c r="E19" s="106">
        <f>(Calculations!$E$6*Death_Rate)/100000000</f>
        <v>5.7295562346796086E-2</v>
      </c>
      <c r="M19" s="13">
        <f t="shared" si="1"/>
        <v>2033</v>
      </c>
      <c r="N19" s="53">
        <f t="shared" si="6"/>
        <v>2.679173500740939E-2</v>
      </c>
      <c r="O19" s="55">
        <f t="shared" si="7"/>
        <v>0.23182940185897211</v>
      </c>
      <c r="P19" s="58">
        <f t="shared" si="4"/>
        <v>1</v>
      </c>
      <c r="Q19" s="119">
        <f>IF(M19=Year_Open_to_Traffic?,Calculations!$J$4,Calculations!Q18+Calculations!Q18*Calculations!N19*P19)</f>
        <v>2122609.7343161721</v>
      </c>
      <c r="R19" s="66">
        <f t="shared" si="0"/>
        <v>0</v>
      </c>
      <c r="S19" s="119">
        <f t="shared" si="5"/>
        <v>0</v>
      </c>
      <c r="T19" s="40">
        <f>S19/(1+'Assumed Values'!$C$6)^(Calculations!M19-'Assumed Values'!$C$5)</f>
        <v>0</v>
      </c>
    </row>
    <row r="20" spans="1:20" x14ac:dyDescent="0.25">
      <c r="D20" s="64" t="s">
        <v>94</v>
      </c>
      <c r="E20" s="106">
        <f>(Calculations!$E$6*Incap_Injry_Rate)/100000000</f>
        <v>0.32006486552348157</v>
      </c>
      <c r="M20" s="60">
        <f t="shared" si="1"/>
        <v>2034</v>
      </c>
      <c r="N20" s="53">
        <f t="shared" si="6"/>
        <v>2.679173500740939E-2</v>
      </c>
      <c r="O20" s="55">
        <f t="shared" si="7"/>
        <v>0.23804051376050392</v>
      </c>
      <c r="P20" s="58">
        <f t="shared" si="4"/>
        <v>1</v>
      </c>
      <c r="Q20" s="119">
        <f>IF(M20=Year_Open_to_Traffic?,Calculations!$J$4,Calculations!Q19+Calculations!Q19*Calculations!N20*P20)</f>
        <v>2179478.1318421187</v>
      </c>
      <c r="R20" s="66">
        <f t="shared" si="0"/>
        <v>0</v>
      </c>
      <c r="S20" s="119">
        <f t="shared" si="5"/>
        <v>0</v>
      </c>
      <c r="T20" s="40">
        <f>S20/(1+'Assumed Values'!$C$6)^(Calculations!M20-'Assumed Values'!$C$5)</f>
        <v>0</v>
      </c>
    </row>
    <row r="21" spans="1:20" x14ac:dyDescent="0.25">
      <c r="D21" s="64" t="s">
        <v>93</v>
      </c>
      <c r="E21" s="106">
        <f>(Calculations!$E$6*Nonincap_Injry_Rate)/100000000</f>
        <v>1.9381705745588607</v>
      </c>
      <c r="M21" s="13">
        <f>M20+1</f>
        <v>2035</v>
      </c>
      <c r="N21" s="53">
        <f t="shared" si="6"/>
        <v>2.679173500740939E-2</v>
      </c>
      <c r="O21" s="55">
        <f>O20*(1+IFERROR(_2025_2040_V_C_Growth,_2018_2045_V_C_Growth))</f>
        <v>0.24441803212620292</v>
      </c>
      <c r="P21" s="58">
        <f t="shared" si="4"/>
        <v>1</v>
      </c>
      <c r="Q21" s="119">
        <f>IF(M21=Year_Open_to_Traffic?,Calculations!$J$4,Calculations!Q20+Calculations!Q20*Calculations!N21*P21)</f>
        <v>2237870.1324048764</v>
      </c>
      <c r="R21" s="66">
        <f t="shared" si="0"/>
        <v>0</v>
      </c>
      <c r="S21" s="119">
        <f t="shared" si="5"/>
        <v>0</v>
      </c>
      <c r="T21" s="40">
        <f>S21/(1+'Assumed Values'!$C$6)^(Calculations!M21-'Assumed Values'!$C$5)</f>
        <v>0</v>
      </c>
    </row>
    <row r="22" spans="1:20" x14ac:dyDescent="0.25">
      <c r="D22" s="64" t="s">
        <v>92</v>
      </c>
      <c r="E22" s="106">
        <f>(Calculations!$E$6*Poss_Injry_Rate)/100000000</f>
        <v>3.6471588997305369</v>
      </c>
      <c r="M22" s="60">
        <f>M21+1</f>
        <v>2036</v>
      </c>
      <c r="N22" s="53">
        <f t="shared" si="6"/>
        <v>2.679173500740939E-2</v>
      </c>
      <c r="O22" s="55">
        <f t="shared" si="7"/>
        <v>0.25096641527396063</v>
      </c>
      <c r="P22" s="58">
        <f t="shared" si="4"/>
        <v>1</v>
      </c>
      <c r="Q22" s="119">
        <f>IF(M22=Year_Open_to_Traffic?,Calculations!$J$4,Calculations!Q21+Calculations!Q21*Calculations!N22*P22)</f>
        <v>2297826.5559732639</v>
      </c>
      <c r="R22" s="66">
        <f t="shared" si="0"/>
        <v>0</v>
      </c>
      <c r="S22" s="119">
        <f t="shared" si="5"/>
        <v>0</v>
      </c>
      <c r="T22" s="40">
        <f>S22/(1+'Assumed Values'!$C$6)^(Calculations!M22-'Assumed Values'!$C$5)</f>
        <v>0</v>
      </c>
    </row>
    <row r="23" spans="1:20" x14ac:dyDescent="0.25">
      <c r="D23" s="64" t="s">
        <v>91</v>
      </c>
      <c r="E23" s="106">
        <f>(Calculations!$E$6*Non_Injry_Rate)/100000000</f>
        <v>36.773872481410883</v>
      </c>
      <c r="M23" s="13">
        <f t="shared" si="1"/>
        <v>2037</v>
      </c>
      <c r="N23" s="53">
        <f t="shared" si="6"/>
        <v>2.679173500740939E-2</v>
      </c>
      <c r="O23" s="55">
        <f t="shared" si="7"/>
        <v>0.25769024096774007</v>
      </c>
      <c r="P23" s="58">
        <f t="shared" si="4"/>
        <v>1</v>
      </c>
      <c r="Q23" s="119">
        <f>IF(M23=Year_Open_to_Traffic?,Calculations!$J$4,Calculations!Q22+Calculations!Q22*Calculations!N23*P23)</f>
        <v>2359389.3161538877</v>
      </c>
      <c r="R23" s="66">
        <f t="shared" si="0"/>
        <v>0</v>
      </c>
      <c r="S23" s="119">
        <f t="shared" si="5"/>
        <v>0</v>
      </c>
      <c r="T23" s="40">
        <f>S23/(1+'Assumed Values'!$C$6)^(Calculations!M23-'Assumed Values'!$C$5)</f>
        <v>0</v>
      </c>
    </row>
    <row r="24" spans="1:20" x14ac:dyDescent="0.25">
      <c r="D24" s="64" t="s">
        <v>90</v>
      </c>
      <c r="E24" s="106">
        <f>(Calculations!$E$6*Unkn_Injry_Rate)/100000000</f>
        <v>1.5687129828743478</v>
      </c>
      <c r="M24" s="60">
        <f t="shared" si="1"/>
        <v>2038</v>
      </c>
      <c r="N24" s="53">
        <f t="shared" si="6"/>
        <v>2.679173500740939E-2</v>
      </c>
      <c r="O24" s="55">
        <f t="shared" si="7"/>
        <v>0.26459420961774321</v>
      </c>
      <c r="P24" s="58">
        <f t="shared" si="4"/>
        <v>1</v>
      </c>
      <c r="Q24" s="119">
        <f>IF(M24=Year_Open_to_Traffic?,Calculations!$J$4,Calculations!Q23+Calculations!Q23*Calculations!N24*P24)</f>
        <v>2422601.4494915954</v>
      </c>
      <c r="R24" s="66">
        <f t="shared" si="0"/>
        <v>0</v>
      </c>
      <c r="S24" s="119">
        <f t="shared" si="5"/>
        <v>0</v>
      </c>
      <c r="T24" s="40">
        <f>S24/(1+'Assumed Values'!$C$6)^(Calculations!M24-'Assumed Values'!$C$5)</f>
        <v>0</v>
      </c>
    </row>
    <row r="25" spans="1:20" x14ac:dyDescent="0.25">
      <c r="M25" s="13">
        <f t="shared" si="1"/>
        <v>2039</v>
      </c>
      <c r="N25" s="53">
        <f t="shared" si="6"/>
        <v>2.679173500740939E-2</v>
      </c>
      <c r="O25" s="55">
        <f t="shared" si="7"/>
        <v>0.27168314756631673</v>
      </c>
      <c r="P25" s="58">
        <f t="shared" si="4"/>
        <v>1</v>
      </c>
      <c r="Q25" s="119">
        <f>IF(M25=Year_Open_to_Traffic?,Calculations!$J$4,Calculations!Q24+Calculations!Q24*Calculations!N25*P25)</f>
        <v>2487507.1455549402</v>
      </c>
      <c r="R25" s="66">
        <f t="shared" si="0"/>
        <v>0</v>
      </c>
      <c r="S25" s="119">
        <f t="shared" si="5"/>
        <v>0</v>
      </c>
      <c r="T25" s="40">
        <f>S25/(1+'Assumed Values'!$C$6)^(Calculations!M25-'Assumed Values'!$C$5)</f>
        <v>0</v>
      </c>
    </row>
    <row r="26" spans="1:20" x14ac:dyDescent="0.25">
      <c r="A26" s="117" t="s">
        <v>99</v>
      </c>
      <c r="B26" s="117"/>
      <c r="D26" s="110" t="s">
        <v>89</v>
      </c>
      <c r="E26" s="110" t="s">
        <v>94</v>
      </c>
      <c r="F26" s="110" t="s">
        <v>93</v>
      </c>
      <c r="G26" s="110" t="s">
        <v>92</v>
      </c>
      <c r="H26" s="110" t="s">
        <v>91</v>
      </c>
      <c r="I26" s="110" t="s">
        <v>90</v>
      </c>
      <c r="J26" s="118" t="s">
        <v>100</v>
      </c>
      <c r="M26" s="60">
        <f t="shared" si="1"/>
        <v>2040</v>
      </c>
      <c r="N26" s="53">
        <f t="shared" si="6"/>
        <v>2.679173500740939E-2</v>
      </c>
      <c r="O26" s="55">
        <f t="shared" si="7"/>
        <v>0.2789620104618924</v>
      </c>
      <c r="P26" s="58">
        <f t="shared" si="4"/>
        <v>1</v>
      </c>
      <c r="Q26" s="119">
        <f>IF(M26=Year_Open_to_Traffic?,Calculations!$J$4,Calculations!Q25+Calculations!Q25*Calculations!N26*P26)</f>
        <v>2554151.7778276857</v>
      </c>
      <c r="R26" s="66">
        <f t="shared" si="0"/>
        <v>0</v>
      </c>
      <c r="S26" s="119">
        <f t="shared" si="5"/>
        <v>0</v>
      </c>
      <c r="T26" s="40">
        <f>S26/(1+'Assumed Values'!$C$6)^(Calculations!M26-'Assumed Values'!$C$5)</f>
        <v>0</v>
      </c>
    </row>
    <row r="27" spans="1:20" x14ac:dyDescent="0.25">
      <c r="A27" s="117"/>
      <c r="B27" s="117"/>
      <c r="D27" s="70">
        <f>Calculations!E19</f>
        <v>5.7295562346796086E-2</v>
      </c>
      <c r="E27" s="70">
        <f>Calculations!E20</f>
        <v>0.32006486552348157</v>
      </c>
      <c r="F27" s="70">
        <f>Calculations!E21</f>
        <v>1.9381705745588607</v>
      </c>
      <c r="G27" s="70">
        <f>Calculations!E22</f>
        <v>3.6471588997305369</v>
      </c>
      <c r="H27" s="70">
        <f>Calculations!E23</f>
        <v>36.773872481410883</v>
      </c>
      <c r="I27" s="70">
        <f>Calculations!E24</f>
        <v>1.5687129828743478</v>
      </c>
      <c r="J27" s="118"/>
      <c r="L27" s="103"/>
      <c r="M27" s="13">
        <f t="shared" si="1"/>
        <v>2041</v>
      </c>
      <c r="N27" s="53">
        <f t="shared" si="6"/>
        <v>2.679173500740939E-2</v>
      </c>
      <c r="O27" s="55">
        <f t="shared" si="7"/>
        <v>0.2864358867233216</v>
      </c>
      <c r="P27" s="58">
        <f t="shared" si="4"/>
        <v>1</v>
      </c>
      <c r="Q27" s="119">
        <f>IF(M27=Year_Open_to_Traffic?,Calculations!$J$4,Calculations!Q26+Calculations!Q26*Calculations!N27*P27)</f>
        <v>2622581.9354279488</v>
      </c>
      <c r="R27" s="66">
        <f t="shared" si="0"/>
        <v>0</v>
      </c>
      <c r="S27" s="119">
        <f t="shared" si="5"/>
        <v>0</v>
      </c>
      <c r="T27" s="40">
        <f>S27/(1+'Assumed Values'!$C$6)^(Calculations!M27-'Assumed Values'!$C$5)</f>
        <v>0</v>
      </c>
    </row>
    <row r="28" spans="1:20" x14ac:dyDescent="0.25">
      <c r="A28" s="49" t="s">
        <v>95</v>
      </c>
      <c r="B28" s="67" t="s">
        <v>96</v>
      </c>
      <c r="D28" s="71">
        <f>D$27*'Value of Statistical Life'!D17</f>
        <v>0</v>
      </c>
      <c r="E28" s="71">
        <f>E$27*'Value of Statistical Life'!E17</f>
        <v>1.1000629428042061E-2</v>
      </c>
      <c r="F28" s="71">
        <f>F$27*'Value of Statistical Life'!F17</f>
        <v>0.16177909785842812</v>
      </c>
      <c r="G28" s="71">
        <f>G$27*'Value of Statistical Life'!G17</f>
        <v>0.85478463132984595</v>
      </c>
      <c r="H28" s="71">
        <f>H$27*'Value of Statistical Life'!H17</f>
        <v>34.028335161948746</v>
      </c>
      <c r="I28" s="71">
        <f>I$27*'Value of Statistical Life'!I17</f>
        <v>0.68515108240020006</v>
      </c>
      <c r="J28" s="71">
        <f>SUM(D28:I28)</f>
        <v>35.741050602965267</v>
      </c>
      <c r="K28" s="99"/>
      <c r="L28" s="103"/>
      <c r="M28" s="60">
        <f t="shared" si="1"/>
        <v>2042</v>
      </c>
      <c r="N28" s="53">
        <f t="shared" si="6"/>
        <v>2.679173500740939E-2</v>
      </c>
      <c r="O28" s="55">
        <f t="shared" si="7"/>
        <v>0.29411000109702518</v>
      </c>
      <c r="P28" s="58">
        <f t="shared" si="4"/>
        <v>1</v>
      </c>
      <c r="Q28" s="119">
        <f>IF(M28=Year_Open_to_Traffic?,Calculations!$J$4,Calculations!Q27+Calculations!Q27*Calculations!N28*P28)</f>
        <v>2692845.4556771531</v>
      </c>
      <c r="R28" s="66">
        <f t="shared" si="0"/>
        <v>0</v>
      </c>
      <c r="S28" s="119">
        <f t="shared" si="5"/>
        <v>0</v>
      </c>
      <c r="T28" s="40">
        <f>S28/(1+'Assumed Values'!$C$6)^(Calculations!M28-'Assumed Values'!$C$5)</f>
        <v>0</v>
      </c>
    </row>
    <row r="29" spans="1:20" x14ac:dyDescent="0.25">
      <c r="A29" s="49" t="s">
        <v>61</v>
      </c>
      <c r="B29" s="50" t="s">
        <v>62</v>
      </c>
      <c r="D29" s="71">
        <f>D$27*'Value of Statistical Life'!D18</f>
        <v>0</v>
      </c>
      <c r="E29" s="71">
        <f>E$27*'Value of Statistical Life'!E18</f>
        <v>0.17747276728411532</v>
      </c>
      <c r="F29" s="71">
        <f>F$27*'Value of Statistical Life'!F18</f>
        <v>1.4893484146082652</v>
      </c>
      <c r="G29" s="71">
        <f>G$27*'Value of Statistical Life'!G18</f>
        <v>2.5145701750082159</v>
      </c>
      <c r="H29" s="71">
        <f>H$27*'Value of Statistical Life'!H18</f>
        <v>2.6686799259759875</v>
      </c>
      <c r="I29" s="71">
        <f>I$27*'Value of Statistical Life'!I18</f>
        <v>0.65476511192192399</v>
      </c>
      <c r="J29" s="71">
        <f t="shared" ref="J29:J34" si="8">SUM(D29:I29)</f>
        <v>7.5048363947985077</v>
      </c>
      <c r="K29" s="99"/>
      <c r="L29" s="103"/>
      <c r="M29" s="13">
        <f t="shared" si="1"/>
        <v>2043</v>
      </c>
      <c r="N29" s="53">
        <f t="shared" si="6"/>
        <v>2.679173500740939E-2</v>
      </c>
      <c r="O29" s="55">
        <f t="shared" si="7"/>
        <v>0.30198971830944554</v>
      </c>
      <c r="P29" s="58">
        <f t="shared" si="4"/>
        <v>1</v>
      </c>
      <c r="Q29" s="119">
        <f>IF(M29=Year_Open_to_Traffic?,Calculations!$J$4,Calculations!Q28+Calculations!Q28*Calculations!N29*P29)</f>
        <v>2764991.4575415622</v>
      </c>
      <c r="R29" s="66">
        <f t="shared" si="0"/>
        <v>0</v>
      </c>
      <c r="S29" s="119">
        <f t="shared" si="5"/>
        <v>0</v>
      </c>
      <c r="T29" s="40">
        <f>S29/(1+'Assumed Values'!$C$6)^(Calculations!M29-'Assumed Values'!$C$5)</f>
        <v>0</v>
      </c>
    </row>
    <row r="30" spans="1:20" x14ac:dyDescent="0.25">
      <c r="A30" s="49" t="s">
        <v>63</v>
      </c>
      <c r="B30" s="50" t="s">
        <v>64</v>
      </c>
      <c r="D30" s="71">
        <f>D$27*'Value of Statistical Life'!D19</f>
        <v>0</v>
      </c>
      <c r="E30" s="71">
        <f>E$27*'Value of Statistical Life'!E19</f>
        <v>6.6919162083649522E-2</v>
      </c>
      <c r="F30" s="71">
        <f>F$27*'Value of Statistical Life'!F19</f>
        <v>0.21122182921542462</v>
      </c>
      <c r="G30" s="71">
        <f>G$27*'Value of Statistical Life'!G19</f>
        <v>0.2330899252817786</v>
      </c>
      <c r="H30" s="71">
        <f>H$27*'Value of Statistical Life'!H19</f>
        <v>7.2812267513193543E-2</v>
      </c>
      <c r="I30" s="71">
        <f>I$27*'Value of Statistical Life'!I19</f>
        <v>0.13917621584061213</v>
      </c>
      <c r="J30" s="71">
        <f t="shared" si="8"/>
        <v>0.72321939993465845</v>
      </c>
      <c r="K30" s="99"/>
      <c r="L30" s="103"/>
      <c r="M30" s="13">
        <f t="shared" si="1"/>
        <v>2044</v>
      </c>
      <c r="N30" s="53">
        <f t="shared" si="6"/>
        <v>2.679173500740939E-2</v>
      </c>
      <c r="O30" s="55">
        <f t="shared" si="7"/>
        <v>0.31008054681735442</v>
      </c>
      <c r="P30" s="58">
        <f t="shared" si="4"/>
        <v>1</v>
      </c>
      <c r="Q30" s="119">
        <f>IF(M30=Year_Open_to_Traffic?,Calculations!$J$4,Calculations!Q29+Calculations!Q29*Calculations!N30*P30)</f>
        <v>2839070.3759697662</v>
      </c>
      <c r="R30" s="66">
        <f t="shared" si="0"/>
        <v>0</v>
      </c>
      <c r="S30" s="119">
        <f t="shared" si="5"/>
        <v>0</v>
      </c>
      <c r="T30" s="40">
        <f>S30/(1+'Assumed Values'!$C$6)^(Calculations!M30-'Assumed Values'!$C$5)</f>
        <v>0</v>
      </c>
    </row>
    <row r="31" spans="1:20" x14ac:dyDescent="0.25">
      <c r="A31" s="49" t="s">
        <v>65</v>
      </c>
      <c r="B31" s="50" t="s">
        <v>66</v>
      </c>
      <c r="D31" s="71">
        <f>D$27*'Value of Statistical Life'!D20</f>
        <v>0</v>
      </c>
      <c r="E31" s="71">
        <f>E$27*'Value of Statistical Life'!E20</f>
        <v>4.620776463562503E-2</v>
      </c>
      <c r="F31" s="71">
        <f>F$27*'Value of Statistical Life'!F20</f>
        <v>6.1847023034173249E-2</v>
      </c>
      <c r="G31" s="71">
        <f>G$27*'Value of Statistical Life'!G20</f>
        <v>3.9061071816114054E-2</v>
      </c>
      <c r="H31" s="71">
        <f>H$27*'Value of Statistical Life'!H20</f>
        <v>2.9419097985128708E-3</v>
      </c>
      <c r="I31" s="71">
        <f>I$27*'Value of Statistical Life'!I20</f>
        <v>7.5564904385057335E-2</v>
      </c>
      <c r="J31" s="71">
        <f t="shared" si="8"/>
        <v>0.22562267366948252</v>
      </c>
      <c r="K31" s="99"/>
      <c r="L31" s="103"/>
      <c r="M31" s="13">
        <f t="shared" si="1"/>
        <v>2045</v>
      </c>
      <c r="N31" s="53">
        <f t="shared" si="6"/>
        <v>2.679173500740939E-2</v>
      </c>
      <c r="O31" s="55">
        <f t="shared" si="7"/>
        <v>0.31838814265863757</v>
      </c>
      <c r="P31" s="58">
        <f t="shared" si="4"/>
        <v>1</v>
      </c>
      <c r="Q31" s="119">
        <f>IF(M31=Year_Open_to_Traffic?,Calculations!$J$4,Calculations!Q30+Calculations!Q30*Calculations!N31*P31)</f>
        <v>2915133.9971501343</v>
      </c>
      <c r="R31" s="66">
        <f t="shared" si="0"/>
        <v>0</v>
      </c>
      <c r="S31" s="119">
        <f t="shared" si="5"/>
        <v>0</v>
      </c>
      <c r="T31" s="40">
        <f>S31/(1+'Assumed Values'!$C$6)^(Calculations!M31-'Assumed Values'!$C$5)</f>
        <v>0</v>
      </c>
    </row>
    <row r="32" spans="1:20" x14ac:dyDescent="0.25">
      <c r="A32" s="49" t="s">
        <v>67</v>
      </c>
      <c r="B32" s="50" t="s">
        <v>68</v>
      </c>
      <c r="D32" s="71">
        <f>D$27*'Value of Statistical Life'!D21</f>
        <v>0</v>
      </c>
      <c r="E32" s="71">
        <f>E$27*'Value of Statistical Life'!E21</f>
        <v>1.2757785539765976E-2</v>
      </c>
      <c r="F32" s="71">
        <f>F$27*'Value of Statistical Life'!F21</f>
        <v>1.2016657562264936E-2</v>
      </c>
      <c r="G32" s="71">
        <f>G$27*'Value of Statistical Life'!G21</f>
        <v>5.1789656376173623E-3</v>
      </c>
      <c r="H32" s="71">
        <f>H$27*'Value of Statistical Life'!H21</f>
        <v>0</v>
      </c>
      <c r="I32" s="71">
        <f>I$27*'Value of Statistical Life'!I21</f>
        <v>9.6789591043347258E-3</v>
      </c>
      <c r="J32" s="71">
        <f t="shared" si="8"/>
        <v>3.9632367843982996E-2</v>
      </c>
      <c r="K32" s="99"/>
      <c r="L32" s="103"/>
      <c r="M32" s="13">
        <f t="shared" si="1"/>
        <v>2046</v>
      </c>
      <c r="N32" s="53">
        <f t="shared" si="6"/>
        <v>2.679173500740939E-2</v>
      </c>
      <c r="O32" s="55">
        <f t="shared" si="7"/>
        <v>0.32691831340624905</v>
      </c>
      <c r="P32" s="58">
        <f t="shared" si="4"/>
        <v>1</v>
      </c>
      <c r="Q32" s="119">
        <f>IF(M32=Year_Open_to_Traffic?,Calculations!$J$4,Calculations!Q31+Calculations!Q31*Calculations!N32*P32)</f>
        <v>2993235.494712871</v>
      </c>
      <c r="R32" s="66">
        <f t="shared" si="0"/>
        <v>0</v>
      </c>
      <c r="S32" s="119">
        <f t="shared" si="5"/>
        <v>0</v>
      </c>
      <c r="T32" s="40">
        <f>S32/(1+'Assumed Values'!$C$6)^(Calculations!M32-'Assumed Values'!$C$5)</f>
        <v>0</v>
      </c>
    </row>
    <row r="33" spans="1:20" x14ac:dyDescent="0.25">
      <c r="A33" s="49" t="s">
        <v>69</v>
      </c>
      <c r="B33" s="50" t="s">
        <v>70</v>
      </c>
      <c r="D33" s="71">
        <f>D$27*'Value of Statistical Life'!D22</f>
        <v>0</v>
      </c>
      <c r="E33" s="71">
        <f>E$27*'Value of Statistical Life'!E22</f>
        <v>5.7067565522836757E-3</v>
      </c>
      <c r="F33" s="71">
        <f>F$27*'Value of Statistical Life'!F22</f>
        <v>1.9575522803044493E-3</v>
      </c>
      <c r="G33" s="71">
        <f>G$27*'Value of Statistical Life'!G22</f>
        <v>4.7413065696496975E-4</v>
      </c>
      <c r="H33" s="71">
        <f>H$27*'Value of Statistical Life'!H22</f>
        <v>1.1032161744423264E-3</v>
      </c>
      <c r="I33" s="71">
        <f>I$27*'Value of Statistical Life'!I22</f>
        <v>4.3767092222194307E-3</v>
      </c>
      <c r="J33" s="71">
        <f t="shared" si="8"/>
        <v>1.3618364886214852E-2</v>
      </c>
      <c r="K33" s="99"/>
      <c r="L33" s="103"/>
      <c r="M33" s="13">
        <f t="shared" si="1"/>
        <v>2047</v>
      </c>
      <c r="N33" s="53">
        <f t="shared" si="6"/>
        <v>2.679173500740939E-2</v>
      </c>
      <c r="O33" s="55">
        <f t="shared" si="7"/>
        <v>0.33567702222809848</v>
      </c>
      <c r="P33" s="58">
        <f t="shared" si="4"/>
        <v>1</v>
      </c>
      <c r="Q33" s="119">
        <f>IF(M33=Year_Open_to_Traffic?,Calculations!$J$4,Calculations!Q32+Calculations!Q32*Calculations!N33*P33)</f>
        <v>3073429.4669019901</v>
      </c>
      <c r="R33" s="66">
        <f t="shared" si="0"/>
        <v>0</v>
      </c>
      <c r="S33" s="119">
        <f t="shared" si="5"/>
        <v>0</v>
      </c>
      <c r="T33" s="40">
        <f>S33/(1+'Assumed Values'!$C$6)^(Calculations!M33-'Assumed Values'!$C$5)</f>
        <v>0</v>
      </c>
    </row>
    <row r="34" spans="1:20" x14ac:dyDescent="0.25">
      <c r="A34" s="49" t="s">
        <v>71</v>
      </c>
      <c r="B34" s="50" t="s">
        <v>72</v>
      </c>
      <c r="D34" s="71">
        <f>D$27*'Value of Statistical Life'!D23</f>
        <v>5.7295562346796086E-2</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5.7295562346796086E-2</v>
      </c>
      <c r="K34" s="99"/>
      <c r="L34" s="103"/>
      <c r="M34" s="13">
        <f t="shared" si="1"/>
        <v>2048</v>
      </c>
      <c r="N34" s="53">
        <f t="shared" si="6"/>
        <v>2.679173500740939E-2</v>
      </c>
      <c r="O34" s="55">
        <f t="shared" si="7"/>
        <v>0.34467039205570998</v>
      </c>
      <c r="P34" s="58">
        <f t="shared" si="4"/>
        <v>1</v>
      </c>
      <c r="Q34" s="119">
        <f>IF(M34=Year_Open_to_Traffic?,Calculations!$J$4,Calculations!Q33+Calculations!Q33*Calculations!N34*P34)</f>
        <v>3155771.9747431916</v>
      </c>
      <c r="R34" s="66">
        <f t="shared" si="0"/>
        <v>0</v>
      </c>
      <c r="S34" s="119">
        <f t="shared" si="5"/>
        <v>0</v>
      </c>
      <c r="T34" s="40">
        <f>S34/(1+'Assumed Values'!$C$6)^(Calculations!M34-'Assumed Values'!$C$5)</f>
        <v>0</v>
      </c>
    </row>
    <row r="35" spans="1:20" x14ac:dyDescent="0.25">
      <c r="J35" s="86"/>
      <c r="K35" s="98"/>
      <c r="M35" s="13">
        <f t="shared" si="1"/>
        <v>2049</v>
      </c>
      <c r="N35" s="53">
        <f t="shared" si="6"/>
        <v>2.679173500740939E-2</v>
      </c>
      <c r="O35" s="55">
        <f t="shared" si="7"/>
        <v>0.35390470986456646</v>
      </c>
      <c r="P35" s="58">
        <f t="shared" si="4"/>
        <v>1</v>
      </c>
      <c r="Q35" s="119">
        <f>IF(M35=Year_Open_to_Traffic?,Calculations!$J$4,Calculations!Q34+Calculations!Q34*Calculations!N35*P35)</f>
        <v>3240320.5812343201</v>
      </c>
      <c r="R35" s="66">
        <f t="shared" si="0"/>
        <v>0</v>
      </c>
      <c r="S35" s="119">
        <f t="shared" si="5"/>
        <v>0</v>
      </c>
      <c r="T35" s="40">
        <f>S35/(1+'Assumed Values'!$C$6)^(Calculations!M35-'Assumed Values'!$C$5)</f>
        <v>0</v>
      </c>
    </row>
    <row r="36" spans="1:20" x14ac:dyDescent="0.25">
      <c r="M36" s="13">
        <f t="shared" si="1"/>
        <v>2050</v>
      </c>
      <c r="N36" s="53">
        <f t="shared" si="6"/>
        <v>2.679173500740939E-2</v>
      </c>
      <c r="O36" s="55">
        <f t="shared" si="7"/>
        <v>0.36338643106913204</v>
      </c>
      <c r="P36" s="58">
        <f t="shared" si="4"/>
        <v>1</v>
      </c>
      <c r="Q36" s="119">
        <f>IF(M36=Year_Open_to_Traffic?,Calculations!$J$4,Calculations!Q35+Calculations!Q35*Calculations!N36*P36)</f>
        <v>3327134.3915858045</v>
      </c>
      <c r="R36" s="66">
        <f t="shared" si="0"/>
        <v>0</v>
      </c>
      <c r="S36" s="119">
        <f t="shared" si="5"/>
        <v>0</v>
      </c>
      <c r="T36" s="40">
        <f>S36/(1+'Assumed Values'!$C$6)^(Calculations!M36-'Assumed Values'!$C$5)</f>
        <v>0</v>
      </c>
    </row>
    <row r="37" spans="1:20" x14ac:dyDescent="0.25">
      <c r="D37" s="28"/>
      <c r="E37" s="28"/>
      <c r="F37" s="28"/>
      <c r="G37" s="28"/>
      <c r="H37" s="28"/>
      <c r="M37" s="50"/>
      <c r="N37" s="120"/>
      <c r="O37" s="121"/>
      <c r="P37" s="122"/>
      <c r="Q37" s="50"/>
      <c r="R37" s="50"/>
      <c r="S37" s="50"/>
      <c r="T37" s="40">
        <f>SUM(T4:T36)</f>
        <v>10763.412432366618</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9" t="s">
        <v>73</v>
      </c>
      <c r="C12" s="160"/>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1" t="s">
        <v>97</v>
      </c>
      <c r="C24" s="161"/>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Ashley Merchant</cp:lastModifiedBy>
  <cp:lastPrinted>2018-08-02T19:00:00Z</cp:lastPrinted>
  <dcterms:created xsi:type="dcterms:W3CDTF">2012-07-25T15:48:32Z</dcterms:created>
  <dcterms:modified xsi:type="dcterms:W3CDTF">2018-10-31T20:10:31Z</dcterms:modified>
</cp:coreProperties>
</file>