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Dairy Ashford\"/>
    </mc:Choice>
  </mc:AlternateContent>
  <xr:revisionPtr revIDLastSave="0" documentId="10_ncr:100000_{57DEF68B-EDA3-4500-A99D-4987CE0A0327}" xr6:coauthVersionLast="31" xr6:coauthVersionMax="31" xr10:uidLastSave="{00000000-0000-0000-0000-000000000000}"/>
  <bookViews>
    <workbookView xWindow="0" yWindow="0" windowWidth="20265" windowHeight="8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Outputs'!$B$2:$G$37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<sst xmlns="http://schemas.openxmlformats.org/spreadsheetml/2006/main" count="439" uniqueCount="284">
  <si>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</si>
  <si>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</si>
  <si>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</si>
  <si>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</si>
  <si>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</si>
  <si>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</si>
  <si>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</si>
  <si>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</si>
  <si>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</si>
  <si>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</si>
  <si>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</si>
  <si>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</si>
  <si>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</si>
  <si>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</si>
  <si>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</si>
  <si>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</si>
  <si>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</si>
  <si>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</si>
  <si>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</si>
  <si>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</si>
  <si>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</si>
  <si>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</si>
  <si>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</si>
  <si>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</si>
  <si>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</si>
  <si>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</si>
  <si>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</si>
  <si>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</si>
  <si>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</si>
  <si>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</si>
  <si>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</si>
  <si>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</si>
  <si>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</si>
  <si>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</si>
  <si>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</si>
  <si>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</si>
  <si>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</si>
  <si>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</si>
  <si>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</si>
  <si>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</si>
  <si>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</si>
  <si>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</si>
  <si>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</si>
  <si>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</si>
  <si>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</si>
  <si>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</si>
  <si>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</si>
  <si>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</si>
  <si>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</si>
  <si>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</si>
  <si>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</si>
  <si>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</si>
  <si>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</si>
  <si>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</si>
  <si>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</si>
  <si>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</si>
  <si>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</si>
  <si>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</si>
  <si>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</si>
  <si>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</si>
  <si>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</si>
  <si>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</si>
  <si>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</si>
  <si>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</si>
  <si>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</si>
  <si>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</si>
  <si>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</si>
  <si>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</si>
  <si>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</si>
  <si>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</si>
  <si>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</si>
  <si>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</si>
  <si>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</si>
  <si>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</si>
  <si>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</si>
  <si>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</si>
  <si>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</si>
  <si>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</si>
  <si>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</si>
  <si>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</si>
  <si>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</si>
  <si>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</si>
  <si>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</si>
  <si>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</si>
  <si>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</si>
  <si>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</si>
  <si>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</si>
  <si>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</si>
  <si>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</si>
  <si>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</si>
  <si>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</si>
  <si>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</si>
  <si>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</si>
  <si>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</si>
  <si>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</si>
  <si>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</si>
  <si>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</si>
  <si>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</si>
  <si>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</si>
  <si>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</si>
  <si>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</si>
  <si>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</si>
  <si>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</si>
  <si>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</si>
  <si>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</si>
  <si>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</si>
  <si>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</si>
  <si>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</si>
  <si>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</si>
  <si>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</si>
  <si>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</si>
  <si>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</si>
  <si>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</si>
  <si>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</si>
  <si>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</si>
  <si>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</si>
  <si>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</si>
  <si>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</si>
  <si>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</si>
  <si>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</si>
  <si>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</si>
  <si>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</si>
  <si>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</si>
  <si>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</si>
  <si>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</si>
  <si>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</si>
  <si>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</si>
  <si>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</si>
  <si>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</si>
  <si>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</si>
  <si>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</si>
  <si>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</si>
  <si>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</si>
  <si>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</si>
  <si>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</si>
  <si>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</si>
  <si>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</si>
  <si>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</si>
  <si>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</si>
  <si>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</si>
  <si>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</si>
  <si>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</si>
  <si>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</si>
  <si>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</si>
  <si>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</si>
  <si>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</si>
  <si>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</si>
  <si>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</si>
  <si>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</si>
  <si>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</si>
  <si>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</si>
  <si>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</si>
  <si>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</si>
  <si>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</si>
  <si>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</si>
  <si>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</si>
  <si>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</si>
  <si>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</si>
  <si>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</si>
  <si>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</si>
  <si>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</si>
  <si>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</si>
  <si>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</si>
  <si>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</si>
  <si>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</si>
  <si>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</si>
  <si>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</si>
  <si>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</si>
  <si>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</si>
  <si>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</si>
  <si>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</si>
  <si>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</si>
  <si>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</si>
  <si>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</si>
  <si>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</si>
  <si>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</si>
  <si>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</si>
  <si>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</si>
  <si>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</si>
  <si>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</si>
  <si>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</si>
  <si>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</si>
  <si>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</si>
  <si>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</si>
  <si>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</si>
  <si>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</si>
  <si>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</si>
  <si>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</si>
  <si>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</si>
  <si>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</si>
  <si>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</si>
  <si>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</si>
  <si>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</si>
  <si>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</si>
  <si>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</si>
  <si>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</si>
  <si>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</si>
  <si>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</si>
  <si>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</si>
  <si>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</si>
  <si>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</si>
  <si>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</si>
  <si>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</si>
  <si>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</si>
  <si>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</si>
  <si>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</si>
  <si>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</si>
  <si>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</si>
  <si>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</si>
  <si>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</si>
  <si>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</si>
  <si>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</si>
  <si>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</si>
  <si>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</si>
  <si>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</si>
  <si>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</si>
  <si>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</si>
  <si>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</si>
  <si>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</si>
  <si>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</si>
  <si>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</si>
  <si>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</si>
  <si>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</si>
  <si>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</si>
  <si>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</si>
  <si>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</si>
  <si>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</si>
  <si>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</si>
  <si>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</si>
  <si>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</si>
  <si>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</si>
  <si>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</si>
  <si>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</si>
  <si>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</si>
  <si>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</si>
  <si>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</si>
  <si>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</si>
  <si>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</si>
  <si>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</si>
  <si>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</si>
  <si>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</si>
  <si>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</si>
  <si>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</si>
  <si>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</si>
  <si>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</si>
  <si>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</si>
  <si>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</si>
  <si>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</si>
  <si>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</si>
  <si>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</si>
  <si>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</si>
  <si>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</si>
  <si>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</si>
  <si>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</si>
  <si>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</si>
  <si>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</si>
  <si>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</si>
  <si>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</si>
  <si>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</si>
  <si>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</si>
  <si>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</si>
  <si>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</si>
  <si>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</si>
  <si>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</si>
  <si>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</si>
  <si>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</si>
  <si>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</si>
  <si>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</si>
  <si>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</si>
  <si>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</si>
  <si>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</si>
  <si>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</si>
  <si>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</si>
  <si>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</si>
  <si>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</si>
  <si>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</si>
  <si>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</si>
  <si>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</si>
  <si>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</si>
  <si>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</si>
  <si>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</si>
  <si>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 xml:space="preserve">Dairy Ashford </t>
  </si>
  <si>
    <t xml:space="preserve">Westheimer </t>
  </si>
  <si>
    <t>I-10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</si>
</sst>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20" zoomScaleNormal="100" workbookViewId="0">
      <selection activeCell="F24" sqref="F2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2.75</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ht="30" x14ac:dyDescent="0.25">
      <c r="B18" s="4" t="s">
        <v>259</v>
      </c>
      <c r="C18" s="120" t="s">
        <v>242</v>
      </c>
      <c r="D18" s="26"/>
    </row>
    <row r="19" spans="2:13" x14ac:dyDescent="0.25">
      <c r="B19" s="122" t="s">
        <v>251</v>
      </c>
      <c r="C19" s="174">
        <f>VLOOKUP(C18,'CRF Lookup Table'!C3:F84,2, FALSE)</f>
        <v>305</v>
      </c>
      <c r="D19" s="97"/>
    </row>
    <row r="20" spans="2:13" x14ac:dyDescent="0.25">
      <c r="B20" s="122" t="s">
        <v>102</v>
      </c>
      <c r="C20" s="175">
        <f>VLOOKUP(C18,'CRF Lookup Table'!C3:F84,3, FALSE)</f>
        <v>0.75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47904</v>
      </c>
      <c r="D25" s="99"/>
      <c r="I25" s="49"/>
    </row>
    <row r="26" spans="2:13" x14ac:dyDescent="0.25">
      <c r="I26" s="49"/>
    </row>
    <row r="27" spans="2:13" x14ac:dyDescent="0.25">
      <c r="B27" s="86" t="s">
        <v>269</v>
      </c>
      <c r="C27" s="87">
        <v>23094</v>
      </c>
      <c r="D27" s="99"/>
      <c r="I27" s="49"/>
    </row>
    <row r="28" spans="2:13" x14ac:dyDescent="0.25">
      <c r="B28" s="86" t="s">
        <v>150</v>
      </c>
      <c r="C28" s="87">
        <v>28889</v>
      </c>
      <c r="D28" s="99"/>
      <c r="I28" s="49"/>
    </row>
    <row r="29" spans="2:13" x14ac:dyDescent="0.25">
      <c r="B29" s="86" t="s">
        <v>270</v>
      </c>
      <c r="C29" s="88">
        <v>29790</v>
      </c>
      <c r="D29" s="69"/>
      <c r="I29" s="49"/>
    </row>
    <row r="30" spans="2:13" x14ac:dyDescent="0.25">
      <c r="B30" s="86" t="s">
        <v>151</v>
      </c>
      <c r="C30" s="88">
        <v>33963</v>
      </c>
      <c r="D30" s="69"/>
      <c r="I30" s="49"/>
    </row>
    <row r="31" spans="2:13" x14ac:dyDescent="0.25">
      <c r="B31" s="86" t="s">
        <v>271</v>
      </c>
      <c r="C31" s="87">
        <v>32014</v>
      </c>
      <c r="D31" s="99"/>
      <c r="H31" s="70"/>
    </row>
    <row r="32" spans="2:13" x14ac:dyDescent="0.25">
      <c r="B32" s="86" t="s">
        <v>152</v>
      </c>
      <c r="C32" s="87">
        <v>33963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109461.96629491306</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61793.546375681981</v>
      </c>
      <c r="G4" s="183" t="s">
        <v>260</v>
      </c>
      <c r="H4" s="183"/>
      <c r="I4" s="183"/>
      <c r="J4" s="183"/>
      <c r="L4" s="136"/>
      <c r="M4" s="137">
        <v>2018</v>
      </c>
      <c r="N4" s="138">
        <f>_2018_Volume_ADT</f>
        <v>47904</v>
      </c>
      <c r="O4" s="139" t="s">
        <v>85</v>
      </c>
      <c r="P4" s="140">
        <f>MIN(B12,1)</f>
        <v>0.7994046176745474</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169932.25253312546</v>
      </c>
      <c r="G5" s="184" t="s">
        <v>261</v>
      </c>
      <c r="H5" s="184"/>
      <c r="I5" s="184"/>
      <c r="J5" s="143">
        <f>SUMPRODUCT(Possible_Crash_Reductions,'Value of Statistical Life'!E5:E11)</f>
        <v>17664203.011883181</v>
      </c>
      <c r="L5" s="136"/>
      <c r="M5" s="144">
        <f t="shared" ref="M5:M36" si="1">M4+1</f>
        <v>2019</v>
      </c>
      <c r="N5" s="145">
        <f>N4+(N4*O5)</f>
        <v>49678.409679794771</v>
      </c>
      <c r="O5" s="146">
        <f t="shared" ref="O5:O11" si="2">IF(ISERROR(_2025_2045_Demand_Growth),_2018_2045_Demand_Growth,_2018_2025_Demand_Growth)</f>
        <v>3.7040950229516811E-2</v>
      </c>
      <c r="P5" s="147">
        <f t="shared" ref="P5:P11" si="3">P4*(1+IFERROR(_2018_2025_V_C_Growth,_2018_2045_V_C_Growth))</f>
        <v>0.81007174040952679</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44182385.658612616</v>
      </c>
      <c r="L6" s="136"/>
      <c r="M6" s="137">
        <f t="shared" si="1"/>
        <v>2020</v>
      </c>
      <c r="N6" s="145">
        <f t="shared" ref="N6:N36" si="6">N5+(N5*O6)</f>
        <v>51518.545180225599</v>
      </c>
      <c r="O6" s="146">
        <f t="shared" si="2"/>
        <v>3.7040950229516811E-2</v>
      </c>
      <c r="P6" s="147">
        <f t="shared" si="3"/>
        <v>0.82088120346244697</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53426.841048143448</v>
      </c>
      <c r="O7" s="146">
        <f t="shared" si="2"/>
        <v>3.7040950229516811E-2</v>
      </c>
      <c r="P7" s="147">
        <f t="shared" si="3"/>
        <v>0.83183490619892075</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55405.822008328032</v>
      </c>
      <c r="O8" s="146">
        <f t="shared" si="2"/>
        <v>3.7040950229516811E-2</v>
      </c>
      <c r="P8" s="147">
        <f t="shared" si="3"/>
        <v>0.84293477332938116</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3.7040950229516811E-2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57458.106303763976</v>
      </c>
      <c r="O9" s="146">
        <f t="shared" si="2"/>
        <v>3.7040950229516811E-2</v>
      </c>
      <c r="P9" s="147">
        <f t="shared" si="3"/>
        <v>0.85418275524727794</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3.6065149004167463E-3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59586.409159643983</v>
      </c>
      <c r="O10" s="146">
        <f t="shared" si="2"/>
        <v>3.7040950229516811E-2</v>
      </c>
      <c r="P10" s="147">
        <f t="shared" si="3"/>
        <v>0.86558082837178807</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1.2169769750828063E-2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61793.546375681981</v>
      </c>
      <c r="O11" s="146">
        <f t="shared" si="2"/>
        <v>3.7040950229516811E-2</v>
      </c>
      <c r="P11" s="147">
        <f t="shared" si="3"/>
        <v>0.87713099549509832</v>
      </c>
      <c r="Q11" s="148">
        <f t="shared" si="4"/>
        <v>1</v>
      </c>
      <c r="R11" s="37">
        <f>IF(M11=Year_Open_to_Traffic?,Calculations!$J$5,Calculations!R10+(Calculations!R10*Calculations!O11*Q11))</f>
        <v>17664203.011883181</v>
      </c>
      <c r="S11" s="54">
        <f t="shared" si="0"/>
        <v>1</v>
      </c>
      <c r="T11" s="37">
        <f t="shared" si="5"/>
        <v>17664.203011883179</v>
      </c>
      <c r="U11" s="142">
        <f>T11/(1+Real_Discount_Rate)^(Calculations!M11-'Assumed Values'!$C$5)</f>
        <v>11000.377866247267</v>
      </c>
    </row>
    <row r="12" spans="1:21" ht="15.75" x14ac:dyDescent="0.25">
      <c r="A12" s="152" t="s">
        <v>75</v>
      </c>
      <c r="B12" s="156">
        <f>'Inputs &amp; Outputs'!C27/_2018_Peak_Period_Capacity</f>
        <v>0.7994046176745474</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62016.405721435469</v>
      </c>
      <c r="O12" s="146">
        <f t="shared" ref="O12:O36" si="7">IFERROR(_2025_2045_Demand_Growth,_2018_2045_Demand_Growth)</f>
        <v>3.6065149004167463E-3</v>
      </c>
      <c r="P12" s="147">
        <f t="shared" ref="P12:P36" si="8">P11*(1+IFERROR(_2025_2040_V_C_Growth,_2018_2045_V_C_Growth))</f>
        <v>0.88029438149996875</v>
      </c>
      <c r="Q12" s="148">
        <f t="shared" si="4"/>
        <v>1</v>
      </c>
      <c r="R12" s="37">
        <f>IF(M12=Year_Open_to_Traffic?,Calculations!$J$5,Calculations!R11+(Calculations!R11*Calculations!O12*Q12))</f>
        <v>17727909.223249525</v>
      </c>
      <c r="S12" s="54">
        <f t="shared" si="0"/>
        <v>1</v>
      </c>
      <c r="T12" s="37">
        <f t="shared" si="5"/>
        <v>17727.909223249524</v>
      </c>
      <c r="U12" s="142">
        <f>T12/(1+Real_Discount_Rate)^(Calculations!M12-'Assumed Values'!$C$5)</f>
        <v>10317.804572833742</v>
      </c>
    </row>
    <row r="13" spans="1:21" ht="15.75" x14ac:dyDescent="0.25">
      <c r="A13" s="152" t="s">
        <v>74</v>
      </c>
      <c r="B13" s="156">
        <f>_2025_Peak_Period_Volume/_2025_Peak_Period_Capacity</f>
        <v>0.87713099549509765</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62240.068812740115</v>
      </c>
      <c r="O13" s="146">
        <f t="shared" si="7"/>
        <v>3.6065149004167463E-3</v>
      </c>
      <c r="P13" s="147">
        <f t="shared" si="8"/>
        <v>0.88346917630360156</v>
      </c>
      <c r="Q13" s="148">
        <f t="shared" si="4"/>
        <v>1</v>
      </c>
      <c r="R13" s="37">
        <f>IF(M13=Year_Open_to_Traffic?,Calculations!$J$5,Calculations!R12+(Calculations!R12*Calculations!O13*Q13))</f>
        <v>17791845.192016408</v>
      </c>
      <c r="S13" s="54">
        <f t="shared" si="0"/>
        <v>1</v>
      </c>
      <c r="T13" s="37">
        <f t="shared" si="5"/>
        <v>17791.845192016408</v>
      </c>
      <c r="U13" s="142">
        <f>T13/(1+Real_Discount_Rate)^(Calculations!M13-'Assumed Values'!$C$5)</f>
        <v>9677.5849427712637</v>
      </c>
    </row>
    <row r="14" spans="1:21" ht="15.75" x14ac:dyDescent="0.25">
      <c r="A14" s="152" t="s">
        <v>148</v>
      </c>
      <c r="B14" s="156">
        <f>_2045_Peak_Period_Volume/_2045_Peak_Period_Capacity</f>
        <v>0.94261402114065307</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62464.538548316224</v>
      </c>
      <c r="O14" s="146">
        <f t="shared" si="7"/>
        <v>3.6065149004167463E-3</v>
      </c>
      <c r="P14" s="147">
        <f>P13*(1+IFERROR(_2025_2040_V_C_Growth,_2018_2045_V_C_Growth))</f>
        <v>0.88665542105199946</v>
      </c>
      <c r="Q14" s="148">
        <f t="shared" si="4"/>
        <v>1</v>
      </c>
      <c r="R14" s="37">
        <f>IF(M14=Year_Open_to_Traffic?,Calculations!$J$5,Calculations!R13+(Calculations!R13*Calculations!O14*Q14))</f>
        <v>17856011.746807322</v>
      </c>
      <c r="S14" s="54">
        <f t="shared" si="0"/>
        <v>1</v>
      </c>
      <c r="T14" s="37">
        <f t="shared" si="5"/>
        <v>17856.011746807322</v>
      </c>
      <c r="U14" s="142">
        <f>T14/(1+Real_Discount_Rate)^(Calculations!M14-'Assumed Values'!$C$5)</f>
        <v>9077.0909318387075</v>
      </c>
    </row>
    <row r="15" spans="1:21" ht="15.75" x14ac:dyDescent="0.25">
      <c r="A15" s="152" t="s">
        <v>80</v>
      </c>
      <c r="B15" s="153">
        <f>(B13/B12)^(1/(2025-2018))-1</f>
        <v>1.3343834272573796E-2</v>
      </c>
      <c r="L15" s="136"/>
      <c r="M15" s="144">
        <f>M14+1</f>
        <v>2029</v>
      </c>
      <c r="N15" s="145">
        <f t="shared" si="6"/>
        <v>62689.817837338385</v>
      </c>
      <c r="O15" s="146">
        <f t="shared" si="7"/>
        <v>3.6065149004167463E-3</v>
      </c>
      <c r="P15" s="147">
        <f>P14*(1+IFERROR(_2025_2040_V_C_Growth,_2018_2045_V_C_Growth))</f>
        <v>0.88985315703955881</v>
      </c>
      <c r="Q15" s="148">
        <f t="shared" si="4"/>
        <v>1</v>
      </c>
      <c r="R15" s="37">
        <f>IF(M15=Year_Open_to_Traffic?,Calculations!$J$5,Calculations!R14+(Calculations!R14*Calculations!O15*Q15))</f>
        <v>17920409.719234198</v>
      </c>
      <c r="S15" s="54">
        <f t="shared" si="0"/>
        <v>1</v>
      </c>
      <c r="T15" s="37">
        <f t="shared" si="5"/>
        <v>17920.409719234198</v>
      </c>
      <c r="U15" s="142">
        <f>T15/(1+Real_Discount_Rate)^(Calculations!M15-'Assumed Values'!$C$5)</f>
        <v>8513.8575659222624</v>
      </c>
    </row>
    <row r="16" spans="1:21" ht="15.75" x14ac:dyDescent="0.25">
      <c r="A16" s="152" t="s">
        <v>108</v>
      </c>
      <c r="B16" s="153">
        <f>(B14/B13)^(1/(2045-2025))-1</f>
        <v>3.6065149004167463E-3</v>
      </c>
      <c r="D16" s="157" t="s">
        <v>136</v>
      </c>
      <c r="E16" s="151"/>
      <c r="L16" s="136"/>
      <c r="M16" s="137">
        <f t="shared" si="1"/>
        <v>2030</v>
      </c>
      <c r="N16" s="145">
        <f t="shared" si="6"/>
        <v>62915.909599473154</v>
      </c>
      <c r="O16" s="146">
        <f t="shared" si="7"/>
        <v>3.6065149004167463E-3</v>
      </c>
      <c r="P16" s="147">
        <f t="shared" si="8"/>
        <v>0.89306242570960481</v>
      </c>
      <c r="Q16" s="148">
        <f t="shared" si="4"/>
        <v>1</v>
      </c>
      <c r="R16" s="37">
        <f>IF(M16=Year_Open_to_Traffic?,Calculations!$J$5,Calculations!R15+(Calculations!R15*Calculations!O16*Q16))</f>
        <v>17985039.943908188</v>
      </c>
      <c r="S16" s="54">
        <f t="shared" si="0"/>
        <v>1</v>
      </c>
      <c r="T16" s="37">
        <f t="shared" si="5"/>
        <v>17985.039943908188</v>
      </c>
      <c r="U16" s="142">
        <f>T16/(1+Real_Discount_Rate)^(Calculations!M16-'Assumed Values'!$C$5)</f>
        <v>7985.572822517559</v>
      </c>
    </row>
    <row r="17" spans="1:21" ht="15.75" x14ac:dyDescent="0.25">
      <c r="A17" s="152" t="s">
        <v>109</v>
      </c>
      <c r="B17" s="153">
        <f>(B14/B12)^(1/(2045-2018))-1</f>
        <v>6.1219842006898784E-3</v>
      </c>
      <c r="D17" s="152" t="s">
        <v>89</v>
      </c>
      <c r="E17" s="158">
        <f>($E$6*Death_Rate)/100000000</f>
        <v>0.77123630510977303</v>
      </c>
      <c r="L17" s="136"/>
      <c r="M17" s="144">
        <f t="shared" si="1"/>
        <v>2031</v>
      </c>
      <c r="N17" s="145">
        <f t="shared" si="6"/>
        <v>63142.816764916926</v>
      </c>
      <c r="O17" s="146">
        <f t="shared" si="7"/>
        <v>3.6065149004167463E-3</v>
      </c>
      <c r="P17" s="147">
        <f t="shared" si="8"/>
        <v>0.8962832686549288</v>
      </c>
      <c r="Q17" s="148">
        <f t="shared" si="4"/>
        <v>1</v>
      </c>
      <c r="R17" s="37">
        <f>IF(M17=Year_Open_to_Traffic?,Calculations!$J$5,Calculations!R16+(Calculations!R16*Calculations!O17*Q17))</f>
        <v>18049903.258450482</v>
      </c>
      <c r="S17" s="54">
        <f t="shared" si="0"/>
        <v>1</v>
      </c>
      <c r="T17" s="37">
        <f t="shared" si="5"/>
        <v>18049.903258450482</v>
      </c>
      <c r="U17" s="142">
        <f>T17/(1+Real_Discount_Rate)^(Calculations!M17-'Assumed Values'!$C$5)</f>
        <v>7490.0681400844205</v>
      </c>
    </row>
    <row r="18" spans="1:21" ht="15.75" x14ac:dyDescent="0.25">
      <c r="D18" s="152" t="s">
        <v>94</v>
      </c>
      <c r="E18" s="158">
        <f>($E$6*Incap_Injry_Rate)/100000000</f>
        <v>3.898475129377466</v>
      </c>
      <c r="L18" s="136"/>
      <c r="M18" s="137">
        <f t="shared" si="1"/>
        <v>2032</v>
      </c>
      <c r="N18" s="145">
        <f t="shared" si="6"/>
        <v>63370.542274433887</v>
      </c>
      <c r="O18" s="146">
        <f t="shared" si="7"/>
        <v>3.6065149004167463E-3</v>
      </c>
      <c r="P18" s="147">
        <f t="shared" si="8"/>
        <v>0.89951572761832699</v>
      </c>
      <c r="Q18" s="148">
        <f t="shared" si="4"/>
        <v>1</v>
      </c>
      <c r="R18" s="37">
        <f>IF(M18=Year_Open_to_Traffic?,Calculations!$J$5,Calculations!R17+(Calculations!R17*Calculations!O18*Q18))</f>
        <v>18115000.503503166</v>
      </c>
      <c r="S18" s="54">
        <f t="shared" si="0"/>
        <v>1</v>
      </c>
      <c r="T18" s="37">
        <f t="shared" si="5"/>
        <v>18115.000503503165</v>
      </c>
      <c r="U18" s="142">
        <f>T18/(1+Real_Discount_Rate)^(Calculations!M18-'Assumed Values'!$C$5)</f>
        <v>7025.309516296049</v>
      </c>
    </row>
    <row r="19" spans="1:21" ht="15.75" x14ac:dyDescent="0.25">
      <c r="D19" s="152" t="s">
        <v>93</v>
      </c>
      <c r="E19" s="158">
        <f>($E$6*Nonincap_Injry_Rate)/100000000</f>
        <v>21.995161849920972</v>
      </c>
      <c r="L19" s="136"/>
      <c r="M19" s="144">
        <f t="shared" si="1"/>
        <v>2033</v>
      </c>
      <c r="N19" s="145">
        <f t="shared" si="6"/>
        <v>63599.089079394122</v>
      </c>
      <c r="O19" s="146">
        <f t="shared" si="7"/>
        <v>3.6065149004167463E-3</v>
      </c>
      <c r="P19" s="147">
        <f t="shared" si="8"/>
        <v>0.90275984449314173</v>
      </c>
      <c r="Q19" s="148">
        <f t="shared" si="4"/>
        <v>1</v>
      </c>
      <c r="R19" s="37">
        <f>IF(M19=Year_Open_to_Traffic?,Calculations!$J$5,Calculations!R18+(Calculations!R18*Calculations!O19*Q19))</f>
        <v>18180332.522740107</v>
      </c>
      <c r="S19" s="54">
        <f t="shared" si="0"/>
        <v>1</v>
      </c>
      <c r="T19" s="37">
        <f t="shared" si="5"/>
        <v>18180.332522740107</v>
      </c>
      <c r="U19" s="142">
        <f>T19/(1+Real_Discount_Rate)^(Calculations!M19-'Assumed Values'!$C$5)</f>
        <v>6589.3891586416912</v>
      </c>
    </row>
    <row r="20" spans="1:21" ht="15.75" x14ac:dyDescent="0.25">
      <c r="D20" s="152" t="s">
        <v>92</v>
      </c>
      <c r="E20" s="158">
        <f>($E$6*Poss_Injry_Rate/100000000)</f>
        <v>54.909537064767093</v>
      </c>
      <c r="L20" s="136"/>
      <c r="M20" s="137">
        <f t="shared" si="1"/>
        <v>2034</v>
      </c>
      <c r="N20" s="145">
        <f t="shared" si="6"/>
        <v>63828.460141811891</v>
      </c>
      <c r="O20" s="146">
        <f t="shared" si="7"/>
        <v>3.6065149004167463E-3</v>
      </c>
      <c r="P20" s="147">
        <f t="shared" si="8"/>
        <v>0.90601566132380418</v>
      </c>
      <c r="Q20" s="148">
        <f t="shared" si="4"/>
        <v>1</v>
      </c>
      <c r="R20" s="37">
        <f>IF(M20=Year_Open_to_Traffic?,Calculations!$J$5,Calculations!R19+(Calculations!R19*Calculations!O20*Q20))</f>
        <v>18245900.162877899</v>
      </c>
      <c r="S20" s="54">
        <f t="shared" si="0"/>
        <v>1</v>
      </c>
      <c r="T20" s="37">
        <f t="shared" si="5"/>
        <v>18245.900162877897</v>
      </c>
      <c r="U20" s="142">
        <f>T20/(1+Real_Discount_Rate)^(Calculations!M20-'Assumed Values'!$C$5)</f>
        <v>6180.5176531093239</v>
      </c>
    </row>
    <row r="21" spans="1:21" ht="15.75" x14ac:dyDescent="0.25">
      <c r="D21" s="152" t="s">
        <v>91</v>
      </c>
      <c r="E21" s="158">
        <f>($E$6*Non_Injry_Rate)/100000000</f>
        <v>425.76722188347196</v>
      </c>
      <c r="L21" s="136"/>
      <c r="M21" s="144">
        <f>M20+1</f>
        <v>2035</v>
      </c>
      <c r="N21" s="145">
        <f t="shared" si="6"/>
        <v>64058.658434383993</v>
      </c>
      <c r="O21" s="146">
        <f t="shared" si="7"/>
        <v>3.6065149004167463E-3</v>
      </c>
      <c r="P21" s="147">
        <f>P20*(1+IFERROR(_2025_2040_V_C_Growth,_2018_2045_V_C_Growth))</f>
        <v>0.90928322030637942</v>
      </c>
      <c r="Q21" s="148">
        <f t="shared" si="4"/>
        <v>1</v>
      </c>
      <c r="R21" s="37">
        <f>IF(M21=Year_Open_to_Traffic?,Calculations!$J$5,Calculations!R20+(Calculations!R20*Calculations!O21*Q21))</f>
        <v>18311704.273686834</v>
      </c>
      <c r="S21" s="54">
        <f t="shared" si="0"/>
        <v>1</v>
      </c>
      <c r="T21" s="37">
        <f t="shared" si="5"/>
        <v>18311.704273686835</v>
      </c>
      <c r="U21" s="142">
        <f>T21/(1+Real_Discount_Rate)^(Calculations!M21-'Assumed Values'!$C$5)</f>
        <v>5797.0166188014509</v>
      </c>
    </row>
    <row r="22" spans="1:21" ht="15.75" x14ac:dyDescent="0.25">
      <c r="D22" s="152" t="s">
        <v>90</v>
      </c>
      <c r="E22" s="158">
        <f>($E$6*Unkn_Injry_Rate)/100000000</f>
        <v>36.944706873806865</v>
      </c>
      <c r="L22" s="136"/>
      <c r="M22" s="137">
        <f>M21+1</f>
        <v>2036</v>
      </c>
      <c r="N22" s="145">
        <f t="shared" si="6"/>
        <v>64289.686940528307</v>
      </c>
      <c r="O22" s="146">
        <f t="shared" si="7"/>
        <v>3.6065149004167463E-3</v>
      </c>
      <c r="P22" s="147">
        <f t="shared" si="8"/>
        <v>0.91256256378911327</v>
      </c>
      <c r="Q22" s="148">
        <f t="shared" si="4"/>
        <v>1</v>
      </c>
      <c r="R22" s="37">
        <f>IF(M22=Year_Open_to_Traffic?,Calculations!$J$5,Calculations!R21+(Calculations!R21*Calculations!O22*Q22))</f>
        <v>18377745.708001912</v>
      </c>
      <c r="S22" s="54">
        <f t="shared" si="0"/>
        <v>1</v>
      </c>
      <c r="T22" s="37">
        <f t="shared" si="5"/>
        <v>18377.745708001912</v>
      </c>
      <c r="U22" s="142">
        <f>T22/(1+Real_Discount_Rate)^(Calculations!M22-'Assumed Values'!$C$5)</f>
        <v>5437.3118183318893</v>
      </c>
    </row>
    <row r="23" spans="1:21" ht="15.75" x14ac:dyDescent="0.25">
      <c r="L23" s="136"/>
      <c r="M23" s="144">
        <f t="shared" si="1"/>
        <v>2037</v>
      </c>
      <c r="N23" s="145">
        <f t="shared" si="6"/>
        <v>64521.548654422448</v>
      </c>
      <c r="O23" s="146">
        <f t="shared" si="7"/>
        <v>3.6065149004167463E-3</v>
      </c>
      <c r="P23" s="147">
        <f t="shared" si="8"/>
        <v>0.91585373427298122</v>
      </c>
      <c r="Q23" s="148">
        <f t="shared" si="4"/>
        <v>1</v>
      </c>
      <c r="R23" s="37">
        <f>IF(M23=Year_Open_to_Traffic?,Calculations!$J$5,Calculations!R22+(Calculations!R22*Calculations!O23*Q23))</f>
        <v>18444025.321733892</v>
      </c>
      <c r="S23" s="54">
        <f t="shared" si="0"/>
        <v>1</v>
      </c>
      <c r="T23" s="37">
        <f t="shared" si="5"/>
        <v>18444.02532173389</v>
      </c>
      <c r="U23" s="142">
        <f>T23/(1+Real_Discount_Rate)^(Calculations!M23-'Assumed Values'!$C$5)</f>
        <v>5099.9266957223508</v>
      </c>
    </row>
    <row r="24" spans="1:21" ht="15.75" x14ac:dyDescent="0.25">
      <c r="L24" s="136"/>
      <c r="M24" s="137">
        <f t="shared" si="1"/>
        <v>2038</v>
      </c>
      <c r="N24" s="145">
        <f t="shared" si="6"/>
        <v>64754.246581042586</v>
      </c>
      <c r="O24" s="146">
        <f t="shared" si="7"/>
        <v>3.6065149004167463E-3</v>
      </c>
      <c r="P24" s="147">
        <f t="shared" si="8"/>
        <v>0.91915677441223909</v>
      </c>
      <c r="Q24" s="148">
        <f t="shared" si="4"/>
        <v>1</v>
      </c>
      <c r="R24" s="37">
        <f>IF(M24=Year_Open_to_Traffic?,Calculations!$J$5,Calculations!R23+(Calculations!R23*Calculations!O24*Q24))</f>
        <v>18510543.973880388</v>
      </c>
      <c r="S24" s="54">
        <f t="shared" si="0"/>
        <v>1</v>
      </c>
      <c r="T24" s="37">
        <f t="shared" si="5"/>
        <v>18510.543973880387</v>
      </c>
      <c r="U24" s="142">
        <f>T24/(1+Real_Discount_Rate)^(Calculations!M24-'Assumed Values'!$C$5)</f>
        <v>4783.4763152724363</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64987.783736202378</v>
      </c>
      <c r="O25" s="146">
        <f t="shared" si="7"/>
        <v>3.6065149004167463E-3</v>
      </c>
      <c r="P25" s="147">
        <f t="shared" si="8"/>
        <v>0.92247172701497582</v>
      </c>
      <c r="Q25" s="148">
        <f t="shared" si="4"/>
        <v>1</v>
      </c>
      <c r="R25" s="37">
        <f>IF(M25=Year_Open_to_Traffic?,Calculations!$J$5,Calculations!R24+(Calculations!R24*Calculations!O25*Q25))</f>
        <v>18577302.526537009</v>
      </c>
      <c r="S25" s="54">
        <f t="shared" si="0"/>
        <v>1</v>
      </c>
      <c r="T25" s="37">
        <f t="shared" si="5"/>
        <v>18577.302526537009</v>
      </c>
      <c r="U25" s="142">
        <f>T25/(1+Real_Discount_Rate)^(Calculations!M25-'Assumed Values'!$C$5)</f>
        <v>4486.6616765226699</v>
      </c>
    </row>
    <row r="26" spans="1:21" ht="15.75" x14ac:dyDescent="0.25">
      <c r="A26" s="181"/>
      <c r="B26" s="181"/>
      <c r="D26" s="160">
        <f>Calculations!E17</f>
        <v>0.77123630510977303</v>
      </c>
      <c r="E26" s="160">
        <f>Calculations!E18</f>
        <v>3.898475129377466</v>
      </c>
      <c r="F26" s="160">
        <f>Calculations!E19</f>
        <v>21.995161849920972</v>
      </c>
      <c r="G26" s="160">
        <f>Calculations!E20</f>
        <v>54.909537064767093</v>
      </c>
      <c r="H26" s="160">
        <f>Calculations!E21</f>
        <v>425.76722188347196</v>
      </c>
      <c r="I26" s="160">
        <f>Calculations!E22</f>
        <v>36.944706873806865</v>
      </c>
      <c r="J26" s="182"/>
      <c r="L26" s="136"/>
      <c r="M26" s="137">
        <f t="shared" si="1"/>
        <v>2040</v>
      </c>
      <c r="N26" s="145">
        <f t="shared" si="6"/>
        <v>65222.163146592051</v>
      </c>
      <c r="O26" s="146">
        <f t="shared" si="7"/>
        <v>3.6065149004167463E-3</v>
      </c>
      <c r="P26" s="147">
        <f t="shared" si="8"/>
        <v>0.92579863504366855</v>
      </c>
      <c r="Q26" s="148">
        <f t="shared" si="4"/>
        <v>1</v>
      </c>
      <c r="R26" s="37">
        <f>IF(M26=Year_Open_to_Traffic?,Calculations!$J$5,Calculations!R25+(Calculations!R25*Calculations!O26*Q26))</f>
        <v>18644301.844908513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0.10049294264752763</v>
      </c>
      <c r="F27" s="163">
        <f>F$26*'Value of Statistical Life'!F17*Appropriate_Crash_Reduction_Factor</f>
        <v>1.3769521197096777</v>
      </c>
      <c r="G27" s="163">
        <f>G$26*'Value of Statistical Life'!G17*Appropriate_Crash_Reduction_Factor</f>
        <v>9.6518611514020964</v>
      </c>
      <c r="H27" s="163">
        <f>H$26*'Value of Statistical Life'!H17*Appropriate_Crash_Reduction_Factor</f>
        <v>295.48458082323896</v>
      </c>
      <c r="I27" s="163">
        <f>I$26*'Value of Statistical Life'!I17*Appropriate_Crash_Reduction_Factor</f>
        <v>12.101977630652915</v>
      </c>
      <c r="J27" s="163">
        <f t="shared" ref="J27:J33" si="9">SUM(D27:I27)</f>
        <v>318.7158646676512</v>
      </c>
      <c r="K27" s="164"/>
      <c r="L27" s="136"/>
      <c r="M27" s="144">
        <f t="shared" si="1"/>
        <v>2041</v>
      </c>
      <c r="N27" s="145">
        <f t="shared" si="6"/>
        <v>65457.387849817649</v>
      </c>
      <c r="O27" s="146">
        <f t="shared" si="7"/>
        <v>3.6065149004167463E-3</v>
      </c>
      <c r="P27" s="147">
        <f t="shared" si="8"/>
        <v>0.92913754161573903</v>
      </c>
      <c r="Q27" s="148">
        <f t="shared" si="4"/>
        <v>1</v>
      </c>
      <c r="R27" s="37">
        <f>IF(M27=Year_Open_to_Traffic?,Calculations!$J$5,Calculations!R26+(Calculations!R26*Calculations!O27*Q27))</f>
        <v>18711542.797320042</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1.6212491058663834</v>
      </c>
      <c r="F28" s="163">
        <f>F$26*'Value of Statistical Life'!F18*Appropriate_Crash_Reduction_Factor</f>
        <v>12.676306665251079</v>
      </c>
      <c r="G28" s="163">
        <f>G$26*'Value of Statistical Life'!G18*Appropriate_Crash_Reduction_Factor</f>
        <v>28.393447068505736</v>
      </c>
      <c r="H28" s="163">
        <f>H$26*'Value of Statistical Life'!H18*Appropriate_Crash_Reduction_Factor</f>
        <v>23.173445469062671</v>
      </c>
      <c r="I28" s="163">
        <f>I$26*'Value of Statistical Life'!I18*Appropriate_Crash_Reduction_Factor</f>
        <v>11.565263401543685</v>
      </c>
      <c r="J28" s="163">
        <f t="shared" si="9"/>
        <v>77.429711710229554</v>
      </c>
      <c r="K28" s="164"/>
      <c r="L28" s="136"/>
      <c r="M28" s="137">
        <f t="shared" si="1"/>
        <v>2042</v>
      </c>
      <c r="N28" s="145">
        <f t="shared" si="6"/>
        <v>65693.460894440374</v>
      </c>
      <c r="O28" s="146">
        <f t="shared" si="7"/>
        <v>3.6065149004167463E-3</v>
      </c>
      <c r="P28" s="147">
        <f t="shared" si="8"/>
        <v>0.93248849000411282</v>
      </c>
      <c r="Q28" s="148">
        <f t="shared" si="4"/>
        <v>1</v>
      </c>
      <c r="R28" s="37">
        <f>IF(M28=Year_Open_to_Traffic?,Calculations!$J$5,Calculations!R27+(Calculations!R27*Calculations!O28*Q28))</f>
        <v>18779026.255228363</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0.61131988503768042</v>
      </c>
      <c r="F29" s="163">
        <f>F$26*'Value of Statistical Life'!F19*Appropriate_Crash_Reduction_Factor</f>
        <v>1.7977745538032903</v>
      </c>
      <c r="G29" s="163">
        <f>G$26*'Value of Statistical Life'!G19*Appropriate_Crash_Reduction_Factor</f>
        <v>2.6319513853569485</v>
      </c>
      <c r="H29" s="163">
        <f>H$26*'Value of Statistical Life'!H19*Appropriate_Crash_Reduction_Factor</f>
        <v>0.6322643244969558</v>
      </c>
      <c r="I29" s="163">
        <f>I$26*'Value of Statistical Life'!I19*Appropriate_Crash_Reduction_Factor</f>
        <v>2.4583007953831086</v>
      </c>
      <c r="J29" s="163">
        <f t="shared" si="9"/>
        <v>8.131610944077984</v>
      </c>
      <c r="K29" s="164"/>
      <c r="L29" s="136"/>
      <c r="M29" s="144">
        <f t="shared" si="1"/>
        <v>2043</v>
      </c>
      <c r="N29" s="145">
        <f t="shared" si="6"/>
        <v>65930.385340016117</v>
      </c>
      <c r="O29" s="146">
        <f t="shared" si="7"/>
        <v>3.6065149004167463E-3</v>
      </c>
      <c r="P29" s="147">
        <f t="shared" si="8"/>
        <v>0.93585152363777979</v>
      </c>
      <c r="Q29" s="148">
        <f t="shared" si="4"/>
        <v>1</v>
      </c>
      <c r="R29" s="37">
        <f>IF(M29=Year_Open_to_Traffic?,Calculations!$J$5,Calculations!R28+(Calculations!R28*Calculations!O29*Q29))</f>
        <v>18846753.093233161</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0.42211714082116858</v>
      </c>
      <c r="F30" s="163">
        <f>F$26*'Value of Statistical Life'!F20*Appropriate_Crash_Reduction_Factor</f>
        <v>0.52639921097323372</v>
      </c>
      <c r="G30" s="163">
        <f>G$26*'Value of Statistical Life'!G20*Appropriate_Crash_Reduction_Factor</f>
        <v>0.44106085647274168</v>
      </c>
      <c r="H30" s="163">
        <f>H$26*'Value of Statistical Life'!H20*Appropriate_Crash_Reduction_Factor</f>
        <v>2.554603331300832E-2</v>
      </c>
      <c r="I30" s="163">
        <f>I$26*'Value of Statistical Life'!I20*Appropriate_Crash_Reduction_Factor</f>
        <v>1.3347198975834575</v>
      </c>
      <c r="J30" s="163">
        <f t="shared" si="9"/>
        <v>2.7498431391636098</v>
      </c>
      <c r="K30" s="164"/>
      <c r="L30" s="136"/>
      <c r="M30" s="144">
        <f t="shared" si="1"/>
        <v>2044</v>
      </c>
      <c r="N30" s="145">
        <f t="shared" si="6"/>
        <v>66168.164257135097</v>
      </c>
      <c r="O30" s="146">
        <f t="shared" si="7"/>
        <v>3.6065149004167463E-3</v>
      </c>
      <c r="P30" s="147">
        <f t="shared" si="8"/>
        <v>0.93922668610235716</v>
      </c>
      <c r="Q30" s="148">
        <f t="shared" si="4"/>
        <v>1</v>
      </c>
      <c r="R30" s="37">
        <f>IF(M30=Year_Open_to_Traffic?,Calculations!$J$5,Calculations!R29+(Calculations!R29*Calculations!O30*Q30))</f>
        <v>18914724.189088382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0.11654491399273935</v>
      </c>
      <c r="F31" s="163">
        <f>F$26*'Value of Statistical Life'!F21*Appropriate_Crash_Reduction_Factor</f>
        <v>0.10227750260213253</v>
      </c>
      <c r="G31" s="163">
        <f>G$26*'Value of Statistical Life'!G21*Appropriate_Crash_Reduction_Factor</f>
        <v>5.8478656973976958E-2</v>
      </c>
      <c r="H31" s="163">
        <f>H$26*'Value of Statistical Life'!H21*Appropriate_Crash_Reduction_Factor</f>
        <v>0</v>
      </c>
      <c r="I31" s="163">
        <f>I$26*'Value of Statistical Life'!I21*Appropriate_Crash_Reduction_Factor</f>
        <v>0.17096163105854126</v>
      </c>
      <c r="J31" s="163">
        <f t="shared" si="9"/>
        <v>0.44826270462739015</v>
      </c>
      <c r="K31" s="164"/>
      <c r="L31" s="136"/>
      <c r="M31" s="144">
        <f t="shared" si="1"/>
        <v>2045</v>
      </c>
      <c r="N31" s="145">
        <f t="shared" si="6"/>
        <v>66406.800727461683</v>
      </c>
      <c r="O31" s="146">
        <f t="shared" si="7"/>
        <v>3.6065149004167463E-3</v>
      </c>
      <c r="P31" s="147">
        <f t="shared" si="8"/>
        <v>0.9426140211406544</v>
      </c>
      <c r="Q31" s="148">
        <f t="shared" si="4"/>
        <v>1</v>
      </c>
      <c r="R31" s="37">
        <f>IF(M31=Year_Open_to_Traffic?,Calculations!$J$5,Calculations!R30+(Calculations!R30*Calculations!O31*Q31))</f>
        <v>18982940.423713602</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5.2132358667600159E-2</v>
      </c>
      <c r="F32" s="163">
        <f>F$26*'Value of Statistical Life'!F22*Appropriate_Crash_Reduction_Factor</f>
        <v>1.6661335101315136E-2</v>
      </c>
      <c r="G32" s="163">
        <f>G$26*'Value of Statistical Life'!G22*Appropriate_Crash_Reduction_Factor</f>
        <v>5.3536798638147906E-3</v>
      </c>
      <c r="H32" s="163">
        <f>H$26*'Value of Statistical Life'!H22*Appropriate_Crash_Reduction_Factor</f>
        <v>9.5797624923781195E-3</v>
      </c>
      <c r="I32" s="163">
        <f>I$26*'Value of Statistical Life'!I22*Appropriate_Crash_Reduction_Factor</f>
        <v>7.7306799133440865E-2</v>
      </c>
      <c r="J32" s="163">
        <f t="shared" si="9"/>
        <v>0.16103393525854906</v>
      </c>
      <c r="K32" s="164"/>
      <c r="L32" s="136"/>
      <c r="M32" s="144">
        <f t="shared" si="1"/>
        <v>2046</v>
      </c>
      <c r="N32" s="145">
        <f t="shared" si="6"/>
        <v>66646.297843774286</v>
      </c>
      <c r="O32" s="146">
        <f t="shared" si="7"/>
        <v>3.6065149004167463E-3</v>
      </c>
      <c r="P32" s="147">
        <f t="shared" si="8"/>
        <v>0.94601357265323993</v>
      </c>
      <c r="Q32" s="148">
        <f t="shared" si="4"/>
        <v>1</v>
      </c>
      <c r="R32" s="37">
        <f>IF(M32=Year_Open_to_Traffic?,Calculations!$J$5,Calculations!R31+(Calculations!R31*Calculations!O32*Q32))</f>
        <v>19051402.681205448</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0.57842722883232978</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0.57842722883232978</v>
      </c>
      <c r="K33" s="164"/>
      <c r="L33" s="136"/>
      <c r="M33" s="144">
        <f t="shared" si="1"/>
        <v>2047</v>
      </c>
      <c r="N33" s="145">
        <f t="shared" si="6"/>
        <v>66886.658710005475</v>
      </c>
      <c r="O33" s="146">
        <f t="shared" si="7"/>
        <v>3.6065149004167463E-3</v>
      </c>
      <c r="P33" s="147">
        <f t="shared" si="8"/>
        <v>0.94942538469901028</v>
      </c>
      <c r="Q33" s="148">
        <f t="shared" si="4"/>
        <v>1</v>
      </c>
      <c r="R33" s="37">
        <f>IF(M33=Year_Open_to_Traffic?,Calculations!$J$5,Calculations!R32+(Calculations!R32*Calculations!O33*Q33))</f>
        <v>19120111.848849054</v>
      </c>
      <c r="S33" s="54">
        <f t="shared" si="0"/>
        <v>0</v>
      </c>
      <c r="T33" s="37">
        <f t="shared" si="5"/>
        <v>0</v>
      </c>
      <c r="U33" s="142">
        <f>T33/(1+Real_Discount_Rate)^(Calculations!M33-'Assumed Values'!$C$5)</f>
        <v>0</v>
      </c>
    </row>
    <row r="34" spans="1:21" ht="15.75" x14ac:dyDescent="0.25">
      <c r="J34" s="166"/>
      <c r="L34" s="136"/>
      <c r="M34" s="144">
        <f t="shared" si="1"/>
        <v>2048</v>
      </c>
      <c r="N34" s="145">
        <f t="shared" si="6"/>
        <v>67127.8864412822</v>
      </c>
      <c r="O34" s="146">
        <f t="shared" si="7"/>
        <v>3.6065149004167463E-3</v>
      </c>
      <c r="P34" s="147">
        <f t="shared" si="8"/>
        <v>0.9528495014957612</v>
      </c>
      <c r="Q34" s="148">
        <f t="shared" si="4"/>
        <v>1</v>
      </c>
      <c r="R34" s="37">
        <f>IF(M34=Year_Open_to_Traffic?,Calculations!$J$5,Calculations!R33+(Calculations!R33*Calculations!O34*Q34))</f>
        <v>19189068.817129564</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67369.984163966161</v>
      </c>
      <c r="O35" s="146">
        <f t="shared" si="7"/>
        <v>3.6065149004167463E-3</v>
      </c>
      <c r="P35" s="147">
        <f t="shared" si="8"/>
        <v>0.95628596742076033</v>
      </c>
      <c r="Q35" s="148">
        <f t="shared" si="4"/>
        <v>1</v>
      </c>
      <c r="R35" s="37">
        <f>IF(M35=Year_Open_to_Traffic?,Calculations!$J$5,Calculations!R34+(Calculations!R34*Calculations!O35*Q35))</f>
        <v>19258274.479743663</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67612.955015694344</v>
      </c>
      <c r="O36" s="146">
        <f t="shared" si="7"/>
        <v>3.6065149004167463E-3</v>
      </c>
      <c r="P36" s="147">
        <f t="shared" si="8"/>
        <v>0.95973482701132273</v>
      </c>
      <c r="Q36" s="148">
        <f t="shared" si="4"/>
        <v>1</v>
      </c>
      <c r="R36" s="37">
        <f>IF(M36=Year_Open_to_Traffic?,Calculations!$J$5,Calculations!R35+(Calculations!R35*Calculations!O36*Q36))</f>
        <v>19327729.733611174</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109461.96629491306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7" workbookViewId="0">
      <selection activeCell="C70" sqref="C70"/>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2018-10-25T19:29:15Z</cp:lastPrinted>
  <dcterms:created xsi:type="dcterms:W3CDTF">2012-07-25T15:48:32Z</dcterms:created>
  <dcterms:modified xsi:type="dcterms:W3CDTF">2018-10-25T19:29:18Z</dcterms:modified>
</cp:coreProperties>
</file>