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10 - Sweetwater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<sst xmlns="http://schemas.openxmlformats.org/spreadsheetml/2006/main" count="292" uniqueCount="238">
  <si>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</si>
  <si>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</si>
  <si>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</si>
  <si>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</si>
  <si>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</si>
  <si>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</si>
  <si>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</si>
  <si>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</si>
  <si>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</si>
  <si>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</si>
  <si>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</si>
  <si>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</si>
  <si>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</si>
  <si>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</si>
  <si>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</si>
  <si>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</si>
  <si>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</si>
  <si>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</si>
  <si>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</si>
  <si>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</si>
  <si>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</si>
  <si>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</si>
  <si>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</si>
  <si>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</si>
  <si>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</si>
  <si>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</si>
  <si>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</si>
  <si>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</si>
  <si>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</si>
  <si>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</si>
  <si>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</si>
  <si>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</si>
  <si>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</si>
  <si>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</si>
  <si>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</si>
  <si>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</si>
  <si>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</si>
  <si>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</si>
  <si>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</si>
  <si>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</si>
  <si>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</si>
  <si>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</si>
  <si>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</si>
  <si>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</si>
  <si>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</si>
  <si>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</si>
  <si>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</si>
  <si>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</si>
  <si>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</si>
  <si>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</si>
  <si>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</si>
  <si>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</si>
  <si>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</si>
  <si>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</si>
  <si>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</si>
  <si>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</si>
  <si>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</si>
  <si>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</si>
  <si>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</si>
  <si>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</si>
  <si>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</si>
  <si>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</si>
  <si>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</si>
  <si>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</si>
  <si>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</si>
  <si>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</si>
  <si>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</si>
  <si>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</si>
  <si>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</si>
  <si>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</si>
  <si>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</si>
  <si>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</si>
  <si>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</si>
  <si>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</si>
  <si>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</si>
  <si>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</si>
  <si>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</si>
  <si>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</si>
  <si>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</si>
  <si>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</si>
  <si>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</si>
  <si>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</si>
  <si>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</si>
  <si>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</si>
  <si>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</si>
  <si>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</si>
  <si>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</si>
  <si>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</si>
  <si>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</si>
  <si>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</si>
  <si>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</si>
  <si>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</si>
  <si>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</si>
  <si>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</si>
  <si>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</si>
  <si>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</si>
  <si>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</si>
  <si>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</si>
  <si>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</si>
  <si>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</si>
  <si>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</si>
  <si>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</si>
  <si>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</si>
  <si>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</si>
  <si>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</si>
  <si>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</si>
  <si>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</si>
  <si>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</si>
  <si>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</si>
  <si>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</si>
  <si>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</si>
  <si>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</si>
  <si>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</si>
  <si>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</si>
  <si>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</si>
  <si>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</si>
  <si>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</si>
  <si>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</si>
  <si>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</si>
  <si>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</si>
  <si>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</si>
  <si>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</si>
  <si>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</si>
  <si>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</si>
  <si>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</si>
  <si>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</si>
  <si>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</si>
  <si>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</si>
  <si>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</si>
  <si>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</si>
  <si>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</si>
  <si>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</si>
  <si>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</si>
  <si>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</si>
  <si>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</si>
  <si>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</si>
  <si>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</si>
  <si>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</si>
  <si>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</si>
  <si>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</si>
  <si>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</si>
  <si>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</si>
  <si>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</si>
  <si>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</si>
  <si>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</si>
  <si>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</si>
  <si>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</si>
  <si>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</si>
  <si>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</si>
  <si>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</si>
  <si>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</si>
  <si>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</si>
  <si>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</si>
  <si>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</si>
  <si>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</si>
  <si>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</si>
  <si>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</si>
  <si>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</si>
  <si>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</si>
  <si>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</si>
  <si>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</si>
  <si>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</si>
  <si>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</si>
  <si>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</si>
  <si>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</si>
  <si>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</si>
  <si>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</si>
  <si>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</si>
  <si>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</si>
  <si>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</si>
  <si>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</si>
  <si>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</si>
  <si>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</si>
  <si>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</si>
  <si>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</si>
  <si>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</si>
  <si>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</si>
  <si>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</si>
  <si>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</si>
  <si>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</si>
  <si>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</si>
  <si>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</si>
  <si>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</si>
  <si>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</si>
  <si>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</si>
  <si>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</si>
  <si>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</si>
  <si>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</si>
  <si>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</si>
  <si>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</si>
  <si>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</si>
  <si>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</si>
  <si>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</si>
  <si>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</si>
  <si>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</si>
  <si>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</si>
  <si>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</si>
  <si>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</si>
  <si>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</si>
  <si>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</si>
  <si>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</si>
  <si>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</si>
  <si>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</si>
  <si>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</si>
  <si>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</si>
  <si>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</si>
  <si>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</si>
  <si>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</si>
  <si>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</si>
  <si>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</si>
  <si>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</si>
  <si>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</si>
  <si>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</si>
  <si>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</si>
  <si>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</si>
  <si>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</si>
  <si>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</si>
  <si>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</si>
  <si>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</si>
  <si>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</si>
  <si>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</si>
  <si>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</si>
  <si>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</si>
  <si>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</si>
  <si>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</si>
  <si>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</si>
  <si>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</si>
  <si>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</si>
  <si>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</si>
  <si>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</si>
  <si>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</si>
  <si>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</si>
  <si>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</si>
  <si>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Sweetwater Blvd Reconstruction</t>
  </si>
  <si>
    <t>Sweetwater Blvd</t>
  </si>
  <si>
    <t>South Town Center</t>
  </si>
  <si>
    <t>Colony Park Dr (up to the bridge)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</si>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</sst>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41" sqref="E41"/>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199</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1.7</v>
      </c>
    </row>
    <row r="13" spans="1:7" x14ac:dyDescent="0.25">
      <c r="A13" s="8" t="s">
        <v>68</v>
      </c>
      <c r="B13" s="138">
        <v>221</v>
      </c>
      <c r="F13" s="120"/>
    </row>
    <row r="14" spans="1:7" x14ac:dyDescent="0.25">
      <c r="A14" s="8" t="s">
        <v>69</v>
      </c>
      <c r="B14" s="138" t="s">
        <v>237</v>
      </c>
    </row>
    <row r="17" spans="1:7" x14ac:dyDescent="0.25">
      <c r="A17" s="119" t="s">
        <v>120</v>
      </c>
      <c r="E17" s="151" t="s">
        <v>231</v>
      </c>
      <c r="F17" s="152"/>
    </row>
    <row r="18" spans="1:7" x14ac:dyDescent="0.25">
      <c r="A18" s="8" t="s">
        <v>79</v>
      </c>
      <c r="B18" s="139">
        <v>2025</v>
      </c>
      <c r="E18" s="105" t="s">
        <v>232</v>
      </c>
      <c r="F18" s="145">
        <f>$B$12/$B$32</f>
        <v>5.6666666666666664E-2</v>
      </c>
    </row>
    <row r="19" spans="1:7" ht="30" x14ac:dyDescent="0.25">
      <c r="A19" s="8" t="s">
        <v>121</v>
      </c>
      <c r="B19" s="140" t="s">
        <v>148</v>
      </c>
      <c r="E19" s="107" t="s">
        <v>212</v>
      </c>
      <c r="F19" s="146">
        <f>$B$12/$B$33</f>
        <v>9.4444444444444442E-2</v>
      </c>
    </row>
    <row r="20" spans="1:7" ht="30" x14ac:dyDescent="0.25">
      <c r="A20" s="135" t="s">
        <v>208</v>
      </c>
      <c r="B20" s="136">
        <f>VLOOKUP(B19,'Delay Reduction Factors'!B4:C80,2, FALSE)</f>
        <v>0.1</v>
      </c>
      <c r="E20" s="107" t="s">
        <v>209</v>
      </c>
      <c r="F20" s="145">
        <f>$F$19-$F$18</f>
        <v>3.7777777777777778E-2</v>
      </c>
    </row>
    <row r="21" spans="1:7" x14ac:dyDescent="0.25">
      <c r="A21" s="8" t="s">
        <v>104</v>
      </c>
      <c r="B21" s="79">
        <v>20</v>
      </c>
      <c r="D21" s="121"/>
      <c r="E21" s="105" t="s">
        <v>210</v>
      </c>
      <c r="F21" s="145">
        <f>$F$20*$B$20</f>
        <v>3.7777777777777779E-3</v>
      </c>
      <c r="G21" s="122"/>
    </row>
    <row r="22" spans="1:7" s="113" customFormat="1" x14ac:dyDescent="0.25">
      <c r="D22" s="121"/>
      <c r="E22" s="105" t="s">
        <v>211</v>
      </c>
      <c r="F22" s="145">
        <f>$F$20-$F$21</f>
        <v>3.4000000000000002E-2</v>
      </c>
      <c r="G22" s="122"/>
    </row>
    <row r="23" spans="1:7" x14ac:dyDescent="0.25">
      <c r="E23" s="105" t="s">
        <v>213</v>
      </c>
      <c r="F23" s="145">
        <f>$F$18+$F$22</f>
        <v>9.0666666666666673E-2</v>
      </c>
    </row>
    <row r="24" spans="1:7" x14ac:dyDescent="0.25">
      <c r="A24" s="119" t="s">
        <v>94</v>
      </c>
      <c r="B24" s="123"/>
      <c r="D24" s="121"/>
      <c r="G24" s="124"/>
    </row>
    <row r="25" spans="1:7" x14ac:dyDescent="0.25">
      <c r="A25" s="8" t="s">
        <v>218</v>
      </c>
      <c r="B25" s="141">
        <v>33566</v>
      </c>
      <c r="D25" s="121"/>
      <c r="G25" s="124"/>
    </row>
    <row r="28" spans="1:7" x14ac:dyDescent="0.25">
      <c r="A28" s="105" t="s">
        <v>227</v>
      </c>
      <c r="B28" s="134">
        <f>IF(FacilityType='Delay Reduction Factors'!N5,'Inputs &amp; Outputs'!B25*45%, B25*43%)</f>
        <v>14433.38</v>
      </c>
      <c r="D28" s="121"/>
      <c r="E28" s="125" t="s">
        <v>95</v>
      </c>
      <c r="F28" s="126" t="s">
        <v>20</v>
      </c>
      <c r="G28" s="127" t="s">
        <v>19</v>
      </c>
    </row>
    <row r="29" spans="1:7" x14ac:dyDescent="0.25">
      <c r="A29" s="105" t="s">
        <v>228</v>
      </c>
      <c r="B29" s="115">
        <f>VLOOKUP(Year_Open_to_Traffic?,Calculations!H4:I36,2)</f>
        <v>18029.999999999996</v>
      </c>
      <c r="D29" s="121"/>
      <c r="E29" s="107" t="s">
        <v>122</v>
      </c>
      <c r="F29" s="101">
        <f>$B$29*$F$23</f>
        <v>1634.7199999999998</v>
      </c>
      <c r="G29" s="102">
        <f>$B$29*$F$19</f>
        <v>1702.833333333333</v>
      </c>
    </row>
    <row r="30" spans="1:7" x14ac:dyDescent="0.25">
      <c r="A30" s="124"/>
      <c r="B30" s="100"/>
      <c r="D30" s="121"/>
    </row>
    <row r="32" spans="1:7" x14ac:dyDescent="0.25">
      <c r="A32" s="128" t="s">
        <v>221</v>
      </c>
      <c r="B32" s="142">
        <v>30</v>
      </c>
      <c r="D32" s="121"/>
    </row>
    <row r="33" spans="1:7" ht="30" x14ac:dyDescent="0.25">
      <c r="A33" s="129" t="s">
        <v>222</v>
      </c>
      <c r="B33" s="143">
        <v>18</v>
      </c>
      <c r="D33" s="121"/>
      <c r="E33" s="121"/>
      <c r="F33" s="130"/>
      <c r="G33" s="117"/>
    </row>
    <row r="34" spans="1:7" x14ac:dyDescent="0.25">
      <c r="A34" s="131"/>
      <c r="B34" s="144"/>
      <c r="E34" s="117"/>
      <c r="F34" s="130"/>
      <c r="G34" s="130"/>
    </row>
    <row r="35" spans="1:7" x14ac:dyDescent="0.25">
      <c r="A35" s="105" t="s">
        <v>223</v>
      </c>
      <c r="B35" s="148">
        <f>$B$28</f>
        <v>14433.38</v>
      </c>
    </row>
    <row r="36" spans="1:7" x14ac:dyDescent="0.25">
      <c r="A36" s="128" t="s">
        <v>224</v>
      </c>
      <c r="B36" s="142">
        <v>23100</v>
      </c>
    </row>
    <row r="37" spans="1:7" x14ac:dyDescent="0.25">
      <c r="A37" s="128" t="s">
        <v>229</v>
      </c>
      <c r="B37" s="142">
        <v>18030</v>
      </c>
    </row>
    <row r="38" spans="1:7" x14ac:dyDescent="0.25">
      <c r="A38" s="128" t="s">
        <v>225</v>
      </c>
      <c r="B38" s="142">
        <v>23100</v>
      </c>
    </row>
    <row r="39" spans="1:7" x14ac:dyDescent="0.25">
      <c r="A39" s="128" t="s">
        <v>230</v>
      </c>
      <c r="B39" s="142">
        <v>19549</v>
      </c>
    </row>
    <row r="40" spans="1:7" x14ac:dyDescent="0.25">
      <c r="A40" s="128" t="s">
        <v>226</v>
      </c>
      <c r="B40" s="142">
        <v>23100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4443.4746027088895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425027.19999999995</v>
      </c>
      <c r="F4" s="22">
        <f>'Inputs &amp; Outputs'!G29*Annual_Days_of_Travel</f>
        <v>442736.66666666657</v>
      </c>
      <c r="H4" s="59">
        <v>2018</v>
      </c>
      <c r="I4" s="60">
        <f>'Inputs &amp; Outputs'!B28</f>
        <v>14433.38</v>
      </c>
      <c r="J4" s="60">
        <f>IF(H4=Year_Open_to_Traffic?,$F$4,0)</f>
        <v>0</v>
      </c>
      <c r="K4" s="60">
        <f>IF(H4=Year_Open_to_Traffic?,Calculations!$E$4,0)</f>
        <v>0</v>
      </c>
      <c r="L4" s="60">
        <f>IF(AND(H4&gt;=Year_Open_to_Traffic?, Calculations!H4&lt;Year_Open_to_Traffic?+'Inputs &amp; Outputs'!B$21), 1, 0)</f>
        <v>0</v>
      </c>
      <c r="M4" s="81" t="s">
        <v>75</v>
      </c>
      <c r="N4" s="82">
        <f>MIN(E8,1)</f>
        <v>0.62482164502164494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3.2295310448410275E-2</v>
      </c>
      <c r="F5" s="28"/>
      <c r="H5" s="15">
        <f t="shared" ref="H5:H36" si="3">H4+1</f>
        <v>2019</v>
      </c>
      <c r="I5" s="97">
        <f>(I4*M5)+I4</f>
        <v>14899.510487919875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3.2295310448410275E-2</v>
      </c>
      <c r="N5" s="87">
        <f t="shared" ref="N5:N11" si="6">N4*(1+IFERROR(_2018_2025_V_C_Growth,_2018_2045_V_C_Growth))</f>
        <v>0.64500045402250539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4.0525442903283082E-3</v>
      </c>
      <c r="F6" s="28"/>
      <c r="H6" s="59">
        <f t="shared" si="3"/>
        <v>2020</v>
      </c>
      <c r="I6" s="97">
        <f t="shared" ref="I6:I36" si="10">(I5*M6)+I5</f>
        <v>15380.694804656592</v>
      </c>
      <c r="J6" s="60">
        <f t="shared" si="4"/>
        <v>0</v>
      </c>
      <c r="K6" s="60">
        <f>IF(H6=Year_Open_to_Traffic?,Calculations!$E$4,K5+(K5*M6))</f>
        <v>0</v>
      </c>
      <c r="L6" s="60">
        <f>IF(AND(H6&gt;=Year_Open_to_Traffic?, Calculations!H6&lt;Year_Open_to_Traffic?+'Inputs &amp; Outputs'!B$21), 1, 0)</f>
        <v>0</v>
      </c>
      <c r="M6" s="81">
        <f t="shared" si="5"/>
        <v>3.2295310448410275E-2</v>
      </c>
      <c r="N6" s="87">
        <f t="shared" si="6"/>
        <v>0.6658309439245278</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1.1299681351962354E-2</v>
      </c>
      <c r="F7" s="28"/>
      <c r="H7" s="15">
        <f t="shared" si="3"/>
        <v>2021</v>
      </c>
      <c r="I7" s="97">
        <f t="shared" si="10"/>
        <v>15877.419118285228</v>
      </c>
      <c r="J7" s="60">
        <f t="shared" si="4"/>
        <v>0</v>
      </c>
      <c r="K7" s="60">
        <f>IF(H7=Year_Open_to_Traffic?,Calculations!$E$4,K6+(K6*M7))</f>
        <v>0</v>
      </c>
      <c r="L7" s="60">
        <f>IF(AND(H7&gt;=Year_Open_to_Traffic?, Calculations!H7&lt;Year_Open_to_Traffic?+'Inputs &amp; Outputs'!B$21), 1, 0)</f>
        <v>0</v>
      </c>
      <c r="M7" s="81">
        <f t="shared" si="5"/>
        <v>3.2295310448410275E-2</v>
      </c>
      <c r="N7" s="87">
        <f t="shared" si="6"/>
        <v>0.68733416096472844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0.62482164502164494</v>
      </c>
      <c r="F8" s="28"/>
      <c r="H8" s="59">
        <f t="shared" si="3"/>
        <v>2022</v>
      </c>
      <c r="I8" s="97">
        <f t="shared" si="10"/>
        <v>16390.185297829776</v>
      </c>
      <c r="J8" s="60">
        <f t="shared" si="4"/>
        <v>0</v>
      </c>
      <c r="K8" s="60">
        <f>IF(H8=Year_Open_to_Traffic?,Calculations!$E$4,K7+(K7*M8))</f>
        <v>0</v>
      </c>
      <c r="L8" s="60">
        <f>IF(AND(H8&gt;=Year_Open_to_Traffic?, Calculations!H8&lt;Year_Open_to_Traffic?+'Inputs &amp; Outputs'!B$21), 1, 0)</f>
        <v>0</v>
      </c>
      <c r="M8" s="81">
        <f t="shared" si="5"/>
        <v>3.2295310448410275E-2</v>
      </c>
      <c r="N8" s="87">
        <f t="shared" si="6"/>
        <v>0.70953183107488194</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0.7805194805194805</v>
      </c>
      <c r="F9" s="28"/>
      <c r="H9" s="15">
        <f t="shared" si="3"/>
        <v>2023</v>
      </c>
      <c r="I9" s="97">
        <f t="shared" si="10"/>
        <v>16919.511420330156</v>
      </c>
      <c r="J9" s="60">
        <f t="shared" si="4"/>
        <v>0</v>
      </c>
      <c r="K9" s="60">
        <f>IF(H9=Year_Open_to_Traffic?,Calculations!$E$4,K8+(K8*M9))</f>
        <v>0</v>
      </c>
      <c r="L9" s="60">
        <f>IF(AND(H9&gt;=Year_Open_to_Traffic?, Calculations!H9&lt;Year_Open_to_Traffic?+'Inputs &amp; Outputs'!B$21), 1, 0)</f>
        <v>0</v>
      </c>
      <c r="M9" s="81">
        <f t="shared" si="5"/>
        <v>3.2295310448410275E-2</v>
      </c>
      <c r="N9" s="87">
        <f t="shared" si="6"/>
        <v>0.73244638183247424</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0.84627705627705629</v>
      </c>
      <c r="F10" s="28"/>
      <c r="H10" s="59">
        <f t="shared" si="3"/>
        <v>2024</v>
      </c>
      <c r="I10" s="97">
        <f t="shared" si="10"/>
        <v>17465.932294285143</v>
      </c>
      <c r="J10" s="60">
        <f t="shared" si="4"/>
        <v>0</v>
      </c>
      <c r="K10" s="60">
        <f>IF(H10=Year_Open_to_Traffic?,Calculations!$E$4,K9+(K9*M10))</f>
        <v>0</v>
      </c>
      <c r="L10" s="60">
        <f>IF(AND(H10&gt;=Year_Open_to_Traffic?, Calculations!H10&lt;Year_Open_to_Traffic?+'Inputs &amp; Outputs'!B$21), 1, 0)</f>
        <v>0</v>
      </c>
      <c r="M10" s="81">
        <f t="shared" si="5"/>
        <v>3.2295310448410275E-2</v>
      </c>
      <c r="N10" s="87">
        <f t="shared" si="6"/>
        <v>0.75610096512056879</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3.2295310448410275E-2</v>
      </c>
      <c r="F11" s="28"/>
      <c r="H11" s="15">
        <f t="shared" si="3"/>
        <v>2025</v>
      </c>
      <c r="I11" s="97">
        <f t="shared" si="10"/>
        <v>18029.999999999996</v>
      </c>
      <c r="J11" s="60">
        <f t="shared" si="4"/>
        <v>442736.66666666657</v>
      </c>
      <c r="K11" s="60">
        <f>IF(H11=Year_Open_to_Traffic?,Calculations!$E$4,K10+(K10*M11))</f>
        <v>425027.19999999995</v>
      </c>
      <c r="L11" s="60">
        <f>IF(AND(H11&gt;=Year_Open_to_Traffic?, Calculations!H11&lt;Year_Open_to_Traffic?+'Inputs &amp; Outputs'!B$21), 1, 0)</f>
        <v>1</v>
      </c>
      <c r="M11" s="81">
        <f t="shared" si="5"/>
        <v>3.2295310448410275E-2</v>
      </c>
      <c r="N11" s="87">
        <f t="shared" si="6"/>
        <v>0.78051948051948017</v>
      </c>
      <c r="O11" s="88">
        <f t="shared" si="7"/>
        <v>1</v>
      </c>
      <c r="P11" s="84">
        <f t="shared" si="8"/>
        <v>17709.466666666616</v>
      </c>
      <c r="Q11" s="85">
        <f t="shared" si="0"/>
        <v>1</v>
      </c>
      <c r="R11" s="86">
        <f t="shared" si="1"/>
        <v>20.787565583925574</v>
      </c>
      <c r="S11" s="94">
        <f t="shared" si="2"/>
        <v>511.71001270764981</v>
      </c>
      <c r="T11" s="80">
        <f t="shared" si="9"/>
        <v>318.66727833344976</v>
      </c>
      <c r="W11" s="73"/>
    </row>
    <row r="12" spans="1:24" x14ac:dyDescent="0.25">
      <c r="A12" s="18" t="s">
        <v>205</v>
      </c>
      <c r="B12" s="19">
        <v>0.45</v>
      </c>
      <c r="D12" s="18" t="s">
        <v>83</v>
      </c>
      <c r="E12" s="46">
        <f>(E10/E9)^(1/(2045-2025))-1</f>
        <v>4.0525442903283082E-3</v>
      </c>
      <c r="F12" s="28"/>
      <c r="H12" s="59">
        <v>2026</v>
      </c>
      <c r="I12" s="97">
        <f t="shared" si="10"/>
        <v>18103.067373554615</v>
      </c>
      <c r="J12" s="60">
        <f t="shared" si="4"/>
        <v>444530.87661728554</v>
      </c>
      <c r="K12" s="60">
        <f>IF(H12=Year_Open_to_Traffic?,Calculations!$E$4,K11+(K11*M12))</f>
        <v>426749.6415525942</v>
      </c>
      <c r="L12" s="60">
        <f>IF(AND(H12&gt;=Year_Open_to_Traffic?, Calculations!H12&lt;Year_Open_to_Traffic?+'Inputs &amp; Outputs'!B$21), 1, 0)</f>
        <v>1</v>
      </c>
      <c r="M12" s="81">
        <f t="shared" ref="M12:M36" si="11">IFERROR(_2025_2045_Demand_Growth,_2018_2045_Demand_Growth)</f>
        <v>4.0525442903283082E-3</v>
      </c>
      <c r="N12" s="87">
        <f t="shared" ref="N12:N36" si="12">N11*(1+IFERROR(_2025_2045_V_C_Growth,_2018_2045_V_C_Growth))</f>
        <v>0.78368257028374944</v>
      </c>
      <c r="O12" s="88">
        <f t="shared" si="7"/>
        <v>1</v>
      </c>
      <c r="P12" s="84">
        <f t="shared" si="8"/>
        <v>17781.23506469134</v>
      </c>
      <c r="Q12" s="85">
        <f t="shared" si="0"/>
        <v>1</v>
      </c>
      <c r="R12" s="86">
        <f t="shared" si="1"/>
        <v>21.265679592355859</v>
      </c>
      <c r="S12" s="94">
        <f t="shared" si="2"/>
        <v>525.60076622250369</v>
      </c>
      <c r="T12" s="80">
        <f t="shared" si="9"/>
        <v>305.90443130785746</v>
      </c>
      <c r="W12" s="73"/>
    </row>
    <row r="13" spans="1:24" x14ac:dyDescent="0.25">
      <c r="A13" s="18" t="s">
        <v>206</v>
      </c>
      <c r="B13" s="19">
        <v>0.43</v>
      </c>
      <c r="D13" s="18" t="s">
        <v>84</v>
      </c>
      <c r="E13" s="46">
        <f>(E10/E8)^(1/(2045-2018))-1</f>
        <v>1.1299681351962354E-2</v>
      </c>
      <c r="F13" s="28"/>
      <c r="H13" s="15">
        <f t="shared" si="3"/>
        <v>2027</v>
      </c>
      <c r="I13" s="97">
        <f t="shared" si="10"/>
        <v>18176.430855876744</v>
      </c>
      <c r="J13" s="60">
        <f t="shared" si="4"/>
        <v>446332.35768319556</v>
      </c>
      <c r="K13" s="60">
        <f>IF(H13=Year_Open_to_Traffic?,Calculations!$E$4,K12+(K12*M13))</f>
        <v>428479.06337586785</v>
      </c>
      <c r="L13" s="60">
        <f>IF(AND(H13&gt;=Year_Open_to_Traffic?, Calculations!H13&lt;Year_Open_to_Traffic?+'Inputs &amp; Outputs'!B$21), 1, 0)</f>
        <v>1</v>
      </c>
      <c r="M13" s="81">
        <f t="shared" si="11"/>
        <v>4.0525442903283082E-3</v>
      </c>
      <c r="N13" s="87">
        <f t="shared" si="12"/>
        <v>0.78685847860938263</v>
      </c>
      <c r="O13" s="88">
        <f t="shared" si="7"/>
        <v>1</v>
      </c>
      <c r="P13" s="84">
        <f t="shared" si="8"/>
        <v>17853.294307327713</v>
      </c>
      <c r="Q13" s="85">
        <f t="shared" si="0"/>
        <v>1</v>
      </c>
      <c r="R13" s="86">
        <f t="shared" si="1"/>
        <v>21.754790222980041</v>
      </c>
      <c r="S13" s="94">
        <f t="shared" si="2"/>
        <v>539.86859469860303</v>
      </c>
      <c r="T13" s="80">
        <f t="shared" si="9"/>
        <v>293.65274521805566</v>
      </c>
      <c r="W13" s="73"/>
    </row>
    <row r="14" spans="1:24" x14ac:dyDescent="0.25">
      <c r="H14" s="59">
        <f>H13+1</f>
        <v>2028</v>
      </c>
      <c r="I14" s="97">
        <f t="shared" si="10"/>
        <v>18250.091646960274</v>
      </c>
      <c r="J14" s="60">
        <f t="shared" si="4"/>
        <v>448141.13933091337</v>
      </c>
      <c r="K14" s="60">
        <f>IF(H14=Year_Open_to_Traffic?,Calculations!$E$4,K13+(K13*M14))</f>
        <v>430215.49375767692</v>
      </c>
      <c r="L14" s="60">
        <f>IF(AND(H14&gt;=Year_Open_to_Traffic?, Calculations!H14&lt;Year_Open_to_Traffic?+'Inputs &amp; Outputs'!B$21), 1, 0)</f>
        <v>1</v>
      </c>
      <c r="M14" s="81">
        <f t="shared" si="11"/>
        <v>4.0525442903283082E-3</v>
      </c>
      <c r="N14" s="87">
        <f t="shared" si="12"/>
        <v>0.79004725744416748</v>
      </c>
      <c r="O14" s="88">
        <f t="shared" si="7"/>
        <v>1</v>
      </c>
      <c r="P14" s="84">
        <f t="shared" si="8"/>
        <v>17925.645573236456</v>
      </c>
      <c r="Q14" s="85">
        <f t="shared" si="0"/>
        <v>1</v>
      </c>
      <c r="R14" s="86">
        <f t="shared" si="1"/>
        <v>22.255150398108579</v>
      </c>
      <c r="S14" s="94">
        <f t="shared" si="2"/>
        <v>554.52373411963754</v>
      </c>
      <c r="T14" s="80">
        <f t="shared" si="9"/>
        <v>281.89174771161822</v>
      </c>
      <c r="W14" s="73"/>
    </row>
    <row r="15" spans="1:24" x14ac:dyDescent="0.25">
      <c r="H15" s="15">
        <f t="shared" si="3"/>
        <v>2029</v>
      </c>
      <c r="I15" s="97">
        <f t="shared" si="10"/>
        <v>18324.050951662131</v>
      </c>
      <c r="J15" s="60">
        <f t="shared" si="4"/>
        <v>449957.25114637008</v>
      </c>
      <c r="K15" s="60">
        <f>IF(H15=Year_Open_to_Traffic?,Calculations!$E$4,K14+(K14*M15))</f>
        <v>431958.96110051539</v>
      </c>
      <c r="L15" s="60">
        <f>IF(AND(H15&gt;=Year_Open_to_Traffic?, Calculations!H15&lt;Year_Open_to_Traffic?+'Inputs &amp; Outputs'!B$21), 1, 0)</f>
        <v>1</v>
      </c>
      <c r="M15" s="81">
        <f t="shared" si="11"/>
        <v>4.0525442903283082E-3</v>
      </c>
      <c r="N15" s="87">
        <f t="shared" si="12"/>
        <v>0.79324895894641234</v>
      </c>
      <c r="O15" s="88">
        <f t="shared" si="7"/>
        <v>1</v>
      </c>
      <c r="P15" s="84">
        <f t="shared" si="8"/>
        <v>17998.290045854694</v>
      </c>
      <c r="Q15" s="85">
        <f t="shared" si="0"/>
        <v>1</v>
      </c>
      <c r="R15" s="86">
        <f t="shared" si="1"/>
        <v>22.767018857265079</v>
      </c>
      <c r="S15" s="94">
        <f t="shared" si="2"/>
        <v>569.57669833277509</v>
      </c>
      <c r="T15" s="80">
        <f t="shared" si="9"/>
        <v>270.60178636812697</v>
      </c>
      <c r="W15" s="73"/>
    </row>
    <row r="16" spans="1:24" x14ac:dyDescent="0.25">
      <c r="H16" s="59">
        <f t="shared" si="3"/>
        <v>2030</v>
      </c>
      <c r="I16" s="97">
        <f t="shared" si="10"/>
        <v>18398.309979721977</v>
      </c>
      <c r="J16" s="60">
        <f t="shared" si="4"/>
        <v>451780.72283539514</v>
      </c>
      <c r="K16" s="60">
        <f>IF(H16=Year_Open_to_Traffic?,Calculations!$E$4,K15+(K15*M16))</f>
        <v>433709.49392197945</v>
      </c>
      <c r="L16" s="60">
        <f>IF(AND(H16&gt;=Year_Open_to_Traffic?, Calculations!H16&lt;Year_Open_to_Traffic?+'Inputs &amp; Outputs'!B$21), 1, 0)</f>
        <v>1</v>
      </c>
      <c r="M16" s="81">
        <f t="shared" si="11"/>
        <v>4.0525442903283082E-3</v>
      </c>
      <c r="N16" s="87">
        <f t="shared" si="12"/>
        <v>0.79646363548579946</v>
      </c>
      <c r="O16" s="88">
        <f t="shared" si="7"/>
        <v>1</v>
      </c>
      <c r="P16" s="84">
        <f t="shared" si="8"/>
        <v>18071.228913415689</v>
      </c>
      <c r="Q16" s="85">
        <f t="shared" si="0"/>
        <v>1</v>
      </c>
      <c r="R16" s="86">
        <f t="shared" si="1"/>
        <v>23.290660290982171</v>
      </c>
      <c r="S16" s="94">
        <f t="shared" si="2"/>
        <v>585.03828659148621</v>
      </c>
      <c r="T16" s="80">
        <f t="shared" si="9"/>
        <v>259.76399586032858</v>
      </c>
      <c r="W16" s="73"/>
    </row>
    <row r="17" spans="1:23" x14ac:dyDescent="0.25">
      <c r="A17" s="29"/>
      <c r="H17" s="15">
        <f t="shared" si="3"/>
        <v>2031</v>
      </c>
      <c r="I17" s="97">
        <f t="shared" si="10"/>
        <v>18472.869945781989</v>
      </c>
      <c r="J17" s="60">
        <f t="shared" si="4"/>
        <v>453611.58422420209</v>
      </c>
      <c r="K17" s="60">
        <f>IF(H17=Year_Open_to_Traffic?,Calculations!$E$4,K16+(K16*M17))</f>
        <v>435467.12085523416</v>
      </c>
      <c r="L17" s="60">
        <f>IF(AND(H17&gt;=Year_Open_to_Traffic?, Calculations!H17&lt;Year_Open_to_Traffic?+'Inputs &amp; Outputs'!B$21), 1, 0)</f>
        <v>1</v>
      </c>
      <c r="M17" s="81">
        <f t="shared" si="11"/>
        <v>4.0525442903283082E-3</v>
      </c>
      <c r="N17" s="87">
        <f t="shared" si="12"/>
        <v>0.79969133964424155</v>
      </c>
      <c r="O17" s="88">
        <f t="shared" si="7"/>
        <v>1</v>
      </c>
      <c r="P17" s="84">
        <f t="shared" si="8"/>
        <v>18144.463368967932</v>
      </c>
      <c r="Q17" s="85">
        <f t="shared" si="0"/>
        <v>1</v>
      </c>
      <c r="R17" s="86">
        <f t="shared" si="1"/>
        <v>23.82634547767476</v>
      </c>
      <c r="S17" s="94">
        <f t="shared" si="2"/>
        <v>600.9195913031017</v>
      </c>
      <c r="T17" s="80">
        <f t="shared" si="9"/>
        <v>249.36026643049726</v>
      </c>
      <c r="W17" s="73"/>
    </row>
    <row r="18" spans="1:23" x14ac:dyDescent="0.25">
      <c r="H18" s="59">
        <f t="shared" si="3"/>
        <v>2032</v>
      </c>
      <c r="I18" s="97">
        <f t="shared" si="10"/>
        <v>18547.732069406746</v>
      </c>
      <c r="J18" s="60">
        <f t="shared" si="4"/>
        <v>455449.86525987665</v>
      </c>
      <c r="K18" s="60">
        <f>IF(H18=Year_Open_to_Traffic?,Calculations!$E$4,K17+(K17*M18))</f>
        <v>437231.87064948172</v>
      </c>
      <c r="L18" s="60">
        <f>IF(AND(H18&gt;=Year_Open_to_Traffic?, Calculations!H18&lt;Year_Open_to_Traffic?+'Inputs &amp; Outputs'!B$21), 1, 0)</f>
        <v>1</v>
      </c>
      <c r="M18" s="81">
        <f t="shared" si="11"/>
        <v>4.0525442903283082E-3</v>
      </c>
      <c r="N18" s="87">
        <f t="shared" si="12"/>
        <v>0.80293212421674187</v>
      </c>
      <c r="O18" s="88">
        <f t="shared" si="7"/>
        <v>1</v>
      </c>
      <c r="P18" s="84">
        <f t="shared" si="8"/>
        <v>18217.994610394933</v>
      </c>
      <c r="Q18" s="85">
        <f t="shared" si="0"/>
        <v>1</v>
      </c>
      <c r="R18" s="86">
        <f t="shared" si="1"/>
        <v>24.374351423661277</v>
      </c>
      <c r="S18" s="94">
        <f t="shared" si="2"/>
        <v>617.23200598670519</v>
      </c>
      <c r="T18" s="80">
        <f t="shared" si="9"/>
        <v>239.37321362935296</v>
      </c>
      <c r="W18" s="73"/>
    </row>
    <row r="19" spans="1:23" x14ac:dyDescent="0.25">
      <c r="H19" s="15">
        <f t="shared" si="3"/>
        <v>2033</v>
      </c>
      <c r="I19" s="97">
        <f t="shared" si="10"/>
        <v>18622.897575103158</v>
      </c>
      <c r="J19" s="60">
        <f t="shared" si="4"/>
        <v>457295.59601086634</v>
      </c>
      <c r="K19" s="60">
        <f>IF(H19=Year_Open_to_Traffic?,Calculations!$E$4,K18+(K18*M19))</f>
        <v>439003.77217043185</v>
      </c>
      <c r="L19" s="60">
        <f>IF(AND(H19&gt;=Year_Open_to_Traffic?, Calculations!H19&lt;Year_Open_to_Traffic?+'Inputs &amp; Outputs'!B$21), 1, 0)</f>
        <v>1</v>
      </c>
      <c r="M19" s="81">
        <f t="shared" si="11"/>
        <v>4.0525442903283082E-3</v>
      </c>
      <c r="N19" s="87">
        <f t="shared" si="12"/>
        <v>0.80618604221225765</v>
      </c>
      <c r="O19" s="88">
        <f t="shared" si="7"/>
        <v>1</v>
      </c>
      <c r="P19" s="84">
        <f t="shared" si="8"/>
        <v>18291.823840434488</v>
      </c>
      <c r="Q19" s="85">
        <f t="shared" si="0"/>
        <v>1</v>
      </c>
      <c r="R19" s="86">
        <f t="shared" si="1"/>
        <v>24.934961506405479</v>
      </c>
      <c r="S19" s="94">
        <f t="shared" si="2"/>
        <v>633.9872334470258</v>
      </c>
      <c r="T19" s="80">
        <f t="shared" si="9"/>
        <v>229.78614926694598</v>
      </c>
      <c r="W19" s="73"/>
    </row>
    <row r="20" spans="1:23" x14ac:dyDescent="0.25">
      <c r="H20" s="59">
        <f t="shared" si="3"/>
        <v>2034</v>
      </c>
      <c r="I20" s="97">
        <f t="shared" si="10"/>
        <v>18698.367692340511</v>
      </c>
      <c r="J20" s="60">
        <f t="shared" si="4"/>
        <v>459148.80666747247</v>
      </c>
      <c r="K20" s="60">
        <f>IF(H20=Year_Open_to_Traffic?,Calculations!$E$4,K19+(K19*M20))</f>
        <v>440782.85440077371</v>
      </c>
      <c r="L20" s="60">
        <f>IF(AND(H20&gt;=Year_Open_to_Traffic?, Calculations!H20&lt;Year_Open_to_Traffic?+'Inputs &amp; Outputs'!B$21), 1, 0)</f>
        <v>1</v>
      </c>
      <c r="M20" s="81">
        <f t="shared" si="11"/>
        <v>4.0525442903283082E-3</v>
      </c>
      <c r="N20" s="87">
        <f t="shared" si="12"/>
        <v>0.80945314685456726</v>
      </c>
      <c r="O20" s="88">
        <f t="shared" si="7"/>
        <v>1</v>
      </c>
      <c r="P20" s="84">
        <f t="shared" si="8"/>
        <v>18365.952266698761</v>
      </c>
      <c r="Q20" s="85">
        <f t="shared" si="0"/>
        <v>1</v>
      </c>
      <c r="R20" s="86">
        <f t="shared" si="1"/>
        <v>25.508465621052807</v>
      </c>
      <c r="S20" s="94">
        <f t="shared" si="2"/>
        <v>651.19729417024519</v>
      </c>
      <c r="T20" s="80">
        <f t="shared" si="9"/>
        <v>220.58305352699082</v>
      </c>
      <c r="W20" s="73"/>
    </row>
    <row r="21" spans="1:23" x14ac:dyDescent="0.25">
      <c r="H21" s="15">
        <f t="shared" si="3"/>
        <v>2035</v>
      </c>
      <c r="I21" s="97">
        <f t="shared" si="10"/>
        <v>18774.143655570566</v>
      </c>
      <c r="J21" s="60">
        <f t="shared" si="4"/>
        <v>461009.52754234377</v>
      </c>
      <c r="K21" s="60">
        <f>IF(H21=Year_Open_to_Traffic?,Calculations!$E$4,K20+(K20*M21))</f>
        <v>442569.14644065016</v>
      </c>
      <c r="L21" s="60">
        <f>IF(AND(H21&gt;=Year_Open_to_Traffic?, Calculations!H21&lt;Year_Open_to_Traffic?+'Inputs &amp; Outputs'!B$21), 1, 0)</f>
        <v>1</v>
      </c>
      <c r="M21" s="81">
        <f t="shared" si="11"/>
        <v>4.0525442903283082E-3</v>
      </c>
      <c r="N21" s="87">
        <f t="shared" si="12"/>
        <v>0.81273349158314101</v>
      </c>
      <c r="O21" s="88">
        <f t="shared" si="7"/>
        <v>1</v>
      </c>
      <c r="P21" s="84">
        <f t="shared" si="8"/>
        <v>18440.381101693609</v>
      </c>
      <c r="Q21" s="85">
        <f t="shared" si="0"/>
        <v>1</v>
      </c>
      <c r="R21" s="86">
        <f t="shared" si="1"/>
        <v>26.095160330337016</v>
      </c>
      <c r="S21" s="94">
        <f t="shared" si="2"/>
        <v>668.87453494768397</v>
      </c>
      <c r="T21" s="80">
        <f t="shared" si="9"/>
        <v>211.7485481980282</v>
      </c>
      <c r="W21" s="73"/>
    </row>
    <row r="22" spans="1:23" x14ac:dyDescent="0.25">
      <c r="H22" s="59">
        <f>H21+1</f>
        <v>2036</v>
      </c>
      <c r="I22" s="97">
        <f t="shared" si="10"/>
        <v>18850.226704247751</v>
      </c>
      <c r="J22" s="60">
        <f t="shared" si="4"/>
        <v>462877.78907097247</v>
      </c>
      <c r="K22" s="60">
        <f>IF(H22=Year_Open_to_Traffic?,Calculations!$E$4,K21+(K21*M22))</f>
        <v>444362.6775081337</v>
      </c>
      <c r="L22" s="60">
        <f>IF(AND(H22&gt;=Year_Open_to_Traffic?, Calculations!H22&lt;Year_Open_to_Traffic?+'Inputs &amp; Outputs'!B$21), 1, 0)</f>
        <v>1</v>
      </c>
      <c r="M22" s="81">
        <f t="shared" si="11"/>
        <v>4.0525442903283082E-3</v>
      </c>
      <c r="N22" s="87">
        <f t="shared" si="12"/>
        <v>0.81602713005401484</v>
      </c>
      <c r="O22" s="88">
        <f t="shared" si="7"/>
        <v>1</v>
      </c>
      <c r="P22" s="84">
        <f t="shared" si="8"/>
        <v>18515.111562838778</v>
      </c>
      <c r="Q22" s="85">
        <f t="shared" si="0"/>
        <v>1</v>
      </c>
      <c r="R22" s="86">
        <f t="shared" si="1"/>
        <v>26.695349017934767</v>
      </c>
      <c r="S22" s="94">
        <f t="shared" si="2"/>
        <v>687.03163773361325</v>
      </c>
      <c r="T22" s="80">
        <f t="shared" si="9"/>
        <v>203.26787097670837</v>
      </c>
      <c r="W22" s="73"/>
    </row>
    <row r="23" spans="1:23" x14ac:dyDescent="0.25">
      <c r="H23" s="15">
        <f t="shared" si="3"/>
        <v>2037</v>
      </c>
      <c r="I23" s="97">
        <f t="shared" si="10"/>
        <v>18926.618082849443</v>
      </c>
      <c r="J23" s="60">
        <f t="shared" si="4"/>
        <v>464753.62181219185</v>
      </c>
      <c r="K23" s="60">
        <f>IF(H23=Year_Open_to_Traffic?,Calculations!$E$4,K22+(K22*M23))</f>
        <v>446163.47693970427</v>
      </c>
      <c r="L23" s="60">
        <f>IF(AND(H23&gt;=Year_Open_to_Traffic?, Calculations!H23&lt;Year_Open_to_Traffic?+'Inputs &amp; Outputs'!B$21), 1, 0)</f>
        <v>1</v>
      </c>
      <c r="M23" s="81">
        <f t="shared" si="11"/>
        <v>4.0525442903283082E-3</v>
      </c>
      <c r="N23" s="87">
        <f t="shared" si="12"/>
        <v>0.8193341161406682</v>
      </c>
      <c r="O23" s="88">
        <f t="shared" si="7"/>
        <v>1</v>
      </c>
      <c r="P23" s="84">
        <f t="shared" si="8"/>
        <v>18590.144872487581</v>
      </c>
      <c r="Q23" s="85">
        <f t="shared" si="0"/>
        <v>1</v>
      </c>
      <c r="R23" s="86">
        <f t="shared" si="1"/>
        <v>27.309342045347261</v>
      </c>
      <c r="S23" s="94">
        <f t="shared" si="2"/>
        <v>705.68162874349741</v>
      </c>
      <c r="T23" s="80">
        <f t="shared" si="9"/>
        <v>195.12685080023857</v>
      </c>
      <c r="W23" s="73"/>
    </row>
    <row r="24" spans="1:23" x14ac:dyDescent="0.25">
      <c r="H24" s="59">
        <f t="shared" si="3"/>
        <v>2038</v>
      </c>
      <c r="I24" s="97">
        <f t="shared" si="10"/>
        <v>19003.31904089632</v>
      </c>
      <c r="J24" s="60">
        <f t="shared" si="4"/>
        <v>466637.05644867627</v>
      </c>
      <c r="K24" s="60">
        <f>IF(H24=Year_Open_to_Traffic?,Calculations!$E$4,K23+(K23*M24))</f>
        <v>447971.5741907293</v>
      </c>
      <c r="L24" s="60">
        <f>IF(AND(H24&gt;=Year_Open_to_Traffic?, Calculations!H24&lt;Year_Open_to_Traffic?+'Inputs &amp; Outputs'!B$21), 1, 0)</f>
        <v>1</v>
      </c>
      <c r="M24" s="81">
        <f t="shared" si="11"/>
        <v>4.0525442903283082E-3</v>
      </c>
      <c r="N24" s="87">
        <f t="shared" si="12"/>
        <v>0.82265450393490525</v>
      </c>
      <c r="O24" s="88">
        <f t="shared" si="7"/>
        <v>1</v>
      </c>
      <c r="P24" s="84">
        <f>(J24-K24)*L24</f>
        <v>18665.482257946976</v>
      </c>
      <c r="Q24" s="85">
        <f t="shared" si="0"/>
        <v>1</v>
      </c>
      <c r="R24" s="86">
        <f t="shared" si="1"/>
        <v>27.93745691239025</v>
      </c>
      <c r="S24" s="94">
        <f t="shared" si="2"/>
        <v>724.83788779922577</v>
      </c>
      <c r="T24" s="80">
        <f t="shared" si="9"/>
        <v>187.31188416678677</v>
      </c>
      <c r="W24" s="73"/>
    </row>
    <row r="25" spans="1:23" x14ac:dyDescent="0.25">
      <c r="H25" s="15">
        <f t="shared" si="3"/>
        <v>2039</v>
      </c>
      <c r="I25" s="97">
        <f t="shared" si="10"/>
        <v>19080.330832972792</v>
      </c>
      <c r="J25" s="60">
        <f t="shared" si="4"/>
        <v>468528.12378744298</v>
      </c>
      <c r="K25" s="60">
        <f>IF(H25=Year_Open_to_Traffic?,Calculations!$E$4,K24+(K24*M25))</f>
        <v>449786.99883594533</v>
      </c>
      <c r="L25" s="60">
        <f>IF(AND(H25&gt;=Year_Open_to_Traffic?, Calculations!H25&lt;Year_Open_to_Traffic?+'Inputs &amp; Outputs'!B$21), 1, 0)</f>
        <v>1</v>
      </c>
      <c r="M25" s="81">
        <f t="shared" si="11"/>
        <v>4.0525442903283082E-3</v>
      </c>
      <c r="N25" s="87">
        <f t="shared" si="12"/>
        <v>0.82598834774773955</v>
      </c>
      <c r="O25" s="88">
        <f t="shared" si="7"/>
        <v>1</v>
      </c>
      <c r="P25" s="84">
        <f t="shared" si="8"/>
        <v>18741.124951497652</v>
      </c>
      <c r="Q25" s="85">
        <f t="shared" si="0"/>
        <v>1</v>
      </c>
      <c r="R25" s="86">
        <f t="shared" si="1"/>
        <v>28.580018421375218</v>
      </c>
      <c r="S25" s="94">
        <f t="shared" si="2"/>
        <v>744.51415792802561</v>
      </c>
      <c r="T25" s="80">
        <f t="shared" si="9"/>
        <v>179.80991240426872</v>
      </c>
      <c r="W25" s="73"/>
    </row>
    <row r="26" spans="1:23" x14ac:dyDescent="0.25">
      <c r="H26" s="59">
        <f t="shared" si="3"/>
        <v>2040</v>
      </c>
      <c r="I26" s="97">
        <f t="shared" si="10"/>
        <v>19157.65471874753</v>
      </c>
      <c r="J26" s="60">
        <f t="shared" si="4"/>
        <v>470426.85476035601</v>
      </c>
      <c r="K26" s="60">
        <f>IF(H26=Year_Open_to_Traffic?,Calculations!$E$4,K25+(K25*M26))</f>
        <v>451609.78056994185</v>
      </c>
      <c r="L26" s="60">
        <f>IF(AND(H26&gt;=Year_Open_to_Traffic?, Calculations!H26&lt;Year_Open_to_Traffic?+'Inputs &amp; Outputs'!B$21), 1, 0)</f>
        <v>1</v>
      </c>
      <c r="M26" s="81">
        <f t="shared" si="11"/>
        <v>4.0525442903283082E-3</v>
      </c>
      <c r="N26" s="87">
        <f t="shared" si="12"/>
        <v>0.8293357021102824</v>
      </c>
      <c r="O26" s="88">
        <f t="shared" si="7"/>
        <v>1</v>
      </c>
      <c r="P26" s="84">
        <f t="shared" si="8"/>
        <v>18817.074190414161</v>
      </c>
      <c r="Q26" s="85">
        <f t="shared" si="0"/>
        <v>1</v>
      </c>
      <c r="R26" s="86">
        <f t="shared" si="1"/>
        <v>29.237358845066851</v>
      </c>
      <c r="S26" s="94">
        <f t="shared" si="2"/>
        <v>764.72455522194457</v>
      </c>
      <c r="T26" s="80">
        <f t="shared" si="9"/>
        <v>172.60839984953637</v>
      </c>
      <c r="W26" s="73"/>
    </row>
    <row r="27" spans="1:23" x14ac:dyDescent="0.25">
      <c r="H27" s="15">
        <f t="shared" si="3"/>
        <v>2041</v>
      </c>
      <c r="I27" s="97">
        <f t="shared" si="10"/>
        <v>19235.29196299407</v>
      </c>
      <c r="J27" s="60">
        <f t="shared" si="4"/>
        <v>472333.28042463219</v>
      </c>
      <c r="K27" s="60">
        <f>IF(H27=Year_Open_to_Traffic?,Calculations!$E$4,K26+(K26*M27))</f>
        <v>453439.94920764701</v>
      </c>
      <c r="L27" s="60">
        <f>IF(AND(H27&gt;=Year_Open_to_Traffic?, Calculations!H27&lt;Year_Open_to_Traffic?+'Inputs &amp; Outputs'!B$21), 1, 0)</f>
        <v>1</v>
      </c>
      <c r="M27" s="81">
        <f t="shared" si="11"/>
        <v>4.0525442903283082E-3</v>
      </c>
      <c r="N27" s="87">
        <f t="shared" si="12"/>
        <v>0.83269662177463488</v>
      </c>
      <c r="O27" s="88">
        <f t="shared" si="7"/>
        <v>1</v>
      </c>
      <c r="P27" s="84">
        <f t="shared" si="8"/>
        <v>18893.331216985185</v>
      </c>
      <c r="Q27" s="85">
        <f t="shared" si="0"/>
        <v>1</v>
      </c>
      <c r="R27" s="86">
        <f t="shared" si="1"/>
        <v>29.909818098503379</v>
      </c>
      <c r="S27" s="94">
        <f t="shared" si="2"/>
        <v>785.48357896497532</v>
      </c>
      <c r="T27" s="80">
        <f t="shared" si="9"/>
        <v>165.69531290150437</v>
      </c>
      <c r="W27" s="73"/>
    </row>
    <row r="28" spans="1:23" x14ac:dyDescent="0.25">
      <c r="H28" s="59">
        <f t="shared" si="3"/>
        <v>2042</v>
      </c>
      <c r="I28" s="97">
        <f t="shared" si="10"/>
        <v>19313.243835611498</v>
      </c>
      <c r="J28" s="60">
        <f t="shared" si="4"/>
        <v>474247.43196334905</v>
      </c>
      <c r="K28" s="60">
        <f>IF(H28=Year_Open_to_Traffic?,Calculations!$E$4,K27+(K27*M28))</f>
        <v>455277.53468481521</v>
      </c>
      <c r="L28" s="60">
        <f>IF(AND(H28&gt;=Year_Open_to_Traffic?, Calculations!H28&lt;Year_Open_to_Traffic?+'Inputs &amp; Outputs'!B$21), 1, 0)</f>
        <v>1</v>
      </c>
      <c r="M28" s="81">
        <f t="shared" si="11"/>
        <v>4.0525442903283082E-3</v>
      </c>
      <c r="N28" s="87">
        <f t="shared" si="12"/>
        <v>0.83607116171478335</v>
      </c>
      <c r="O28" s="88">
        <f t="shared" si="7"/>
        <v>1</v>
      </c>
      <c r="P28" s="84">
        <f t="shared" si="8"/>
        <v>18969.897278533841</v>
      </c>
      <c r="Q28" s="85">
        <f t="shared" si="0"/>
        <v>1</v>
      </c>
      <c r="R28" s="86">
        <f t="shared" si="1"/>
        <v>30.597743914768959</v>
      </c>
      <c r="S28" s="94">
        <f t="shared" si="2"/>
        <v>806.80612203509088</v>
      </c>
      <c r="T28" s="80">
        <f t="shared" si="9"/>
        <v>159.05909991321428</v>
      </c>
      <c r="W28" s="73"/>
    </row>
    <row r="29" spans="1:23" x14ac:dyDescent="0.25">
      <c r="H29" s="15">
        <f t="shared" si="3"/>
        <v>2043</v>
      </c>
      <c r="I29" s="97">
        <f t="shared" si="10"/>
        <v>19391.511611645223</v>
      </c>
      <c r="J29" s="60">
        <f t="shared" si="4"/>
        <v>476169.34068595496</v>
      </c>
      <c r="K29" s="60">
        <f>IF(H29=Year_Open_to_Traffic?,Calculations!$E$4,K28+(K28*M29))</f>
        <v>457122.5670585169</v>
      </c>
      <c r="L29" s="60">
        <f>IF(AND(H29&gt;=Year_Open_to_Traffic?, Calculations!H29&lt;Year_Open_to_Traffic?+'Inputs &amp; Outputs'!B$21), 1, 0)</f>
        <v>1</v>
      </c>
      <c r="M29" s="81">
        <f t="shared" si="11"/>
        <v>4.0525442903283082E-3</v>
      </c>
      <c r="N29" s="87">
        <f t="shared" si="12"/>
        <v>0.83945937712749874</v>
      </c>
      <c r="O29" s="88">
        <f t="shared" si="7"/>
        <v>1</v>
      </c>
      <c r="P29" s="84">
        <f t="shared" si="8"/>
        <v>19046.773627438059</v>
      </c>
      <c r="Q29" s="85">
        <f t="shared" si="0"/>
        <v>1</v>
      </c>
      <c r="R29" s="86">
        <f t="shared" si="1"/>
        <v>31.301492024808638</v>
      </c>
      <c r="S29" s="94">
        <f t="shared" si="2"/>
        <v>828.70748158864717</v>
      </c>
      <c r="T29" s="80">
        <f t="shared" si="9"/>
        <v>152.68867188923474</v>
      </c>
      <c r="W29" s="73"/>
    </row>
    <row r="30" spans="1:23" x14ac:dyDescent="0.25">
      <c r="H30" s="15">
        <f t="shared" si="3"/>
        <v>2044</v>
      </c>
      <c r="I30" s="97">
        <f t="shared" si="10"/>
        <v>19470.096571307829</v>
      </c>
      <c r="J30" s="60">
        <f t="shared" si="4"/>
        <v>478099.03802878124</v>
      </c>
      <c r="K30" s="60">
        <f>IF(H30=Year_Open_to_Traffic?,Calculations!$E$4,K29+(K29*M30))</f>
        <v>458975.07650763012</v>
      </c>
      <c r="L30" s="60">
        <f>IF(AND(H30&gt;=Year_Open_to_Traffic?, Calculations!H30&lt;Year_Open_to_Traffic?+'Inputs &amp; Outputs'!B$21), 1, 0)</f>
        <v>1</v>
      </c>
      <c r="M30" s="81">
        <f t="shared" si="11"/>
        <v>4.0525442903283082E-3</v>
      </c>
      <c r="N30" s="87">
        <f t="shared" si="12"/>
        <v>0.84286132343323938</v>
      </c>
      <c r="O30" s="88">
        <f t="shared" si="7"/>
        <v>1</v>
      </c>
      <c r="P30" s="84">
        <f t="shared" si="8"/>
        <v>19123.961521151126</v>
      </c>
      <c r="Q30" s="85">
        <f t="shared" si="0"/>
        <v>1</v>
      </c>
      <c r="R30" s="86">
        <f t="shared" si="1"/>
        <v>32.021426341379232</v>
      </c>
      <c r="S30" s="94">
        <f t="shared" si="2"/>
        <v>851.20337003482689</v>
      </c>
      <c r="T30" s="80">
        <f t="shared" si="9"/>
        <v>146.57338395614525</v>
      </c>
      <c r="W30" s="73"/>
    </row>
    <row r="31" spans="1:23" x14ac:dyDescent="0.25">
      <c r="H31" s="15">
        <f t="shared" si="3"/>
        <v>2045</v>
      </c>
      <c r="I31" s="97">
        <f t="shared" si="10"/>
        <v>19549.000000000025</v>
      </c>
      <c r="J31" s="60">
        <f t="shared" si="4"/>
        <v>480036.55555555626</v>
      </c>
      <c r="K31" s="60">
        <f>IF(H31=Year_Open_to_Traffic?,Calculations!$E$4,K30+(K30*M31))</f>
        <v>460835.09333333414</v>
      </c>
      <c r="L31" s="60">
        <f>IF(AND(H31&gt;=Year_Open_to_Traffic?, Calculations!H31&lt;Year_Open_to_Traffic?+'Inputs &amp; Outputs'!B$21), 1, 0)</f>
        <v>0</v>
      </c>
      <c r="M31" s="81">
        <f t="shared" si="11"/>
        <v>4.0525442903283082E-3</v>
      </c>
      <c r="N31" s="87">
        <f t="shared" si="12"/>
        <v>0.84627705627705729</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19628.223188331653</v>
      </c>
      <c r="J32" s="60">
        <f t="shared" si="4"/>
        <v>481981.92495792179</v>
      </c>
      <c r="K32" s="60">
        <f>IF(H32=Year_Open_to_Traffic?,Calculations!$E$4,K31+(K31*M32))</f>
        <v>462702.64795960503</v>
      </c>
      <c r="L32" s="60">
        <f>IF(AND(H32&gt;=Year_Open_to_Traffic?, Calculations!H32&lt;Year_Open_to_Traffic?+'Inputs &amp; Outputs'!B$21), 1, 0)</f>
        <v>0</v>
      </c>
      <c r="M32" s="81">
        <f t="shared" si="11"/>
        <v>4.0525442903283082E-3</v>
      </c>
      <c r="N32" s="87">
        <f t="shared" si="12"/>
        <v>0.84970663152950876</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19707.767432142817</v>
      </c>
      <c r="J33" s="60">
        <f t="shared" si="4"/>
        <v>483935.17805595149</v>
      </c>
      <c r="K33" s="60">
        <f>IF(H33=Year_Open_to_Traffic?,Calculations!$E$4,K32+(K32*M33))</f>
        <v>464577.77093371353</v>
      </c>
      <c r="L33" s="60">
        <f>IF(AND(H33&gt;=Year_Open_to_Traffic?, Calculations!H33&lt;Year_Open_to_Traffic?+'Inputs &amp; Outputs'!B$21), 1, 0)</f>
        <v>0</v>
      </c>
      <c r="M33" s="81">
        <f t="shared" si="11"/>
        <v>4.0525442903283082E-3</v>
      </c>
      <c r="N33" s="87">
        <f t="shared" si="12"/>
        <v>0.85315010528756774</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19787.634032525064</v>
      </c>
      <c r="J34" s="60">
        <f t="shared" si="4"/>
        <v>485896.34679867118</v>
      </c>
      <c r="K34" s="60">
        <f>IF(H34=Year_Open_to_Traffic?,Calculations!$E$4,K33+(K33*M34))</f>
        <v>466460.49292672443</v>
      </c>
      <c r="L34" s="60">
        <f>IF(AND(H34&gt;=Year_Open_to_Traffic?, Calculations!H34&lt;Year_Open_to_Traffic?+'Inputs &amp; Outputs'!B$21), 1, 0)</f>
        <v>0</v>
      </c>
      <c r="M34" s="81">
        <f t="shared" si="11"/>
        <v>4.0525442903283082E-3</v>
      </c>
      <c r="N34" s="87">
        <f t="shared" si="12"/>
        <v>0.85660753387554389</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19867.824295842678</v>
      </c>
      <c r="J35" s="60">
        <f t="shared" si="4"/>
        <v>487865.46326458151</v>
      </c>
      <c r="K35" s="60">
        <f>IF(H35=Year_Open_to_Traffic?,Calculations!$E$4,K34+(K34*M35))</f>
        <v>468350.84473399835</v>
      </c>
      <c r="L35" s="60">
        <f>IF(AND(H35&gt;=Year_Open_to_Traffic?, Calculations!H35&lt;Year_Open_to_Traffic?+'Inputs &amp; Outputs'!B$21), 1, 0)</f>
        <v>0</v>
      </c>
      <c r="M35" s="81">
        <f t="shared" si="11"/>
        <v>4.0525442903283082E-3</v>
      </c>
      <c r="N35" s="87">
        <f t="shared" si="12"/>
        <v>0.8600789738460034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19948.339533754042</v>
      </c>
      <c r="J36" s="60">
        <f t="shared" si="4"/>
        <v>489842.55966218276</v>
      </c>
      <c r="K36" s="60">
        <f>IF(H36=Year_Open_to_Traffic?,Calculations!$E$4,K35+(K35*M36))</f>
        <v>470248.85727569554</v>
      </c>
      <c r="L36" s="60">
        <f>IF(AND(H36&gt;=Year_Open_to_Traffic?, Calculations!H36&lt;Year_Open_to_Traffic?+'Inputs &amp; Outputs'!B$21), 1, 0)</f>
        <v>0</v>
      </c>
      <c r="M36" s="81">
        <f t="shared" si="11"/>
        <v>4.0525442903283082E-3</v>
      </c>
      <c r="N36" s="87">
        <f t="shared" si="12"/>
        <v>0.86356448198069446</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4443.4746027088895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2018-07-16T14:36:56Z</cp:lastPrinted>
  <dcterms:created xsi:type="dcterms:W3CDTF">2012-07-25T15:48:32Z</dcterms:created>
  <dcterms:modified xsi:type="dcterms:W3CDTF">2018-10-31T18:48:42Z</dcterms:modified>
</cp:coreProperties>
</file>