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C31" i="11" l="1"/>
  <c r="C32" i="11"/>
  <c r="C30" i="11"/>
  <c r="C29" i="11"/>
  <c r="C27" i="11"/>
  <c r="C28" i="11"/>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<sst xmlns="http://schemas.openxmlformats.org/spreadsheetml/2006/main" count="440" uniqueCount="283">
  <si>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</si>
  <si>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</si>
  <si>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</si>
  <si>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</si>
  <si>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</si>
  <si>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</si>
  <si>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</si>
  <si>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</si>
  <si>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</si>
  <si>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</si>
  <si>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</si>
  <si>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</si>
  <si>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</si>
  <si>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</si>
  <si>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</si>
  <si>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</si>
  <si>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</si>
  <si>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</si>
  <si>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</si>
  <si>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</si>
  <si>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</si>
  <si>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</si>
  <si>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</si>
  <si>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</si>
  <si>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</si>
  <si>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</si>
  <si>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</si>
  <si>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</si>
  <si>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</si>
  <si>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</si>
  <si>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</si>
  <si>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</si>
  <si>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</si>
  <si>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</si>
  <si>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</si>
  <si>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</si>
  <si>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</si>
  <si>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</si>
  <si>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</si>
  <si>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</si>
  <si>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</si>
  <si>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</si>
  <si>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</si>
  <si>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</si>
  <si>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</si>
  <si>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</si>
  <si>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</si>
  <si>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</si>
  <si>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</si>
  <si>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</si>
  <si>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</si>
  <si>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</si>
  <si>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</si>
  <si>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</si>
  <si>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</si>
  <si>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</si>
  <si>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</si>
  <si>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</si>
  <si>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</si>
  <si>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</si>
  <si>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</si>
  <si>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</si>
  <si>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</si>
  <si>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</si>
  <si>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</si>
  <si>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</si>
  <si>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</si>
  <si>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</si>
  <si>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</si>
  <si>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</si>
  <si>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</si>
  <si>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</si>
  <si>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</si>
  <si>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</si>
  <si>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</si>
  <si>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</si>
  <si>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</si>
  <si>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</si>
  <si>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</si>
  <si>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</si>
  <si>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</si>
  <si>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</si>
  <si>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</si>
  <si>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</si>
  <si>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</si>
  <si>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</si>
  <si>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</si>
  <si>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</si>
  <si>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</si>
  <si>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</si>
  <si>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</si>
  <si>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</si>
  <si>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</si>
  <si>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</si>
  <si>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</si>
  <si>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</si>
  <si>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</si>
  <si>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</si>
  <si>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</si>
  <si>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</si>
  <si>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</si>
  <si>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</si>
  <si>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</si>
  <si>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</si>
  <si>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</si>
  <si>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</si>
  <si>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</si>
  <si>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</si>
  <si>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</si>
  <si>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</si>
  <si>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</si>
  <si>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</si>
  <si>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</si>
  <si>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</si>
  <si>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</si>
  <si>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</si>
  <si>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</si>
  <si>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</si>
  <si>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</si>
  <si>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</si>
  <si>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</si>
  <si>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</si>
  <si>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</si>
  <si>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</si>
  <si>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</si>
  <si>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</si>
  <si>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</si>
  <si>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</si>
  <si>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</si>
  <si>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</si>
  <si>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</si>
  <si>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</si>
  <si>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</si>
  <si>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</si>
  <si>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</si>
  <si>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</si>
  <si>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</si>
  <si>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</si>
  <si>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</si>
  <si>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</si>
  <si>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</si>
  <si>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</si>
  <si>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</si>
  <si>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</si>
  <si>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</si>
  <si>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</si>
  <si>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</si>
  <si>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</si>
  <si>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</si>
  <si>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</si>
  <si>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</si>
  <si>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</si>
  <si>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</si>
  <si>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</si>
  <si>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</si>
  <si>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</si>
  <si>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</si>
  <si>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</si>
  <si>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</si>
  <si>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</si>
  <si>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</si>
  <si>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</si>
  <si>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</si>
  <si>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</si>
  <si>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</si>
  <si>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</si>
  <si>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</si>
  <si>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</si>
  <si>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</si>
  <si>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</si>
  <si>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</si>
  <si>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</si>
  <si>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</si>
  <si>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</si>
  <si>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</si>
  <si>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</si>
  <si>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</si>
  <si>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</si>
  <si>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</si>
  <si>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</si>
  <si>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</si>
  <si>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</si>
  <si>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</si>
  <si>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</si>
  <si>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</si>
  <si>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</si>
  <si>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</si>
  <si>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</si>
  <si>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</si>
  <si>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</si>
  <si>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</si>
  <si>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</si>
  <si>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</si>
  <si>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</si>
  <si>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</si>
  <si>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</si>
  <si>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</si>
  <si>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</si>
  <si>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</si>
  <si>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</si>
  <si>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</si>
  <si>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</si>
  <si>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</si>
  <si>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</si>
  <si>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</si>
  <si>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</si>
  <si>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</si>
  <si>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</si>
  <si>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</si>
  <si>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</si>
  <si>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</si>
  <si>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</si>
  <si>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</si>
  <si>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</si>
  <si>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</si>
  <si>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</si>
  <si>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</si>
  <si>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</si>
  <si>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</si>
  <si>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</si>
  <si>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</si>
  <si>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</si>
  <si>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</si>
  <si>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</si>
  <si>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</si>
  <si>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</si>
  <si>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</si>
  <si>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</si>
  <si>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</si>
  <si>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</si>
  <si>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</si>
  <si>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</si>
  <si>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</si>
  <si>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</si>
  <si>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</si>
  <si>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</si>
  <si>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</si>
  <si>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</si>
  <si>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</si>
  <si>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</si>
  <si>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</si>
  <si>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</si>
  <si>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</si>
  <si>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</si>
  <si>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</si>
  <si>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</si>
  <si>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</si>
  <si>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</si>
  <si>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</si>
  <si>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</si>
  <si>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</si>
  <si>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</si>
  <si>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</si>
  <si>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</si>
  <si>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</si>
  <si>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</si>
  <si>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</si>
  <si>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</si>
  <si>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</si>
  <si>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</si>
  <si>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</si>
  <si>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</si>
  <si>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</si>
  <si>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</si>
  <si>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</si>
  <si>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</si>
  <si>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</si>
  <si>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</si>
  <si>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</si>
  <si>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</si>
  <si>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</si>
  <si>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</si>
  <si>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</si>
  <si>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</si>
  <si>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</si>
  <si>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</si>
  <si>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</si>
  <si>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</si>
  <si>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</si>
  <si>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</si>
  <si>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</si>
  <si>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Baker Road at Garth Road Intersection Improvements</t>
  </si>
  <si>
    <t>Baker Road / Garth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</si>
</sst>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13" sqref="C13"/>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282</v>
      </c>
      <c r="D10" s="64"/>
      <c r="E10" s="9"/>
      <c r="F10" t="s">
        <v>258</v>
      </c>
    </row>
    <row r="11" spans="2:19" x14ac:dyDescent="0.25">
      <c r="B11" s="4" t="s">
        <v>115</v>
      </c>
      <c r="C11" s="121" t="s">
        <v>282</v>
      </c>
      <c r="D11" s="64"/>
    </row>
    <row r="12" spans="2:19" x14ac:dyDescent="0.25">
      <c r="B12" s="4" t="s">
        <v>116</v>
      </c>
      <c r="C12" s="121">
        <v>1.1200000000000001</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2023</v>
      </c>
      <c r="D17" s="96"/>
    </row>
    <row r="18" spans="2:13" x14ac:dyDescent="0.25">
      <c r="B18" s="4" t="s">
        <v>259</v>
      </c>
      <c r="C18" s="120" t="s">
        <v>195</v>
      </c>
      <c r="D18" s="26"/>
    </row>
    <row r="19" spans="2:13" x14ac:dyDescent="0.25">
      <c r="B19" s="122" t="s">
        <v>251</v>
      </c>
      <c r="C19" s="174">
        <f>VLOOKUP(C18,'CRF Lookup Table'!C3:F84,2, FALSE)</f>
        <v>108</v>
      </c>
      <c r="D19" s="97"/>
    </row>
    <row r="20" spans="2:13" x14ac:dyDescent="0.25">
      <c r="B20" s="122" t="s">
        <v>102</v>
      </c>
      <c r="C20" s="175">
        <f>VLOOKUP(C18,'CRF Lookup Table'!C3:F84,3, FALSE)</f>
        <v>0.22</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49099</v>
      </c>
      <c r="D25" s="99"/>
      <c r="I25" s="49"/>
    </row>
    <row r="26" spans="2:13" x14ac:dyDescent="0.25">
      <c r="I26" s="49"/>
    </row>
    <row r="27" spans="2:13" x14ac:dyDescent="0.25">
      <c r="B27" s="86" t="s">
        <v>269</v>
      </c>
      <c r="C27" s="87">
        <f>2117+2904</f>
        <v>5021</v>
      </c>
      <c r="D27" s="99"/>
      <c r="I27" s="49"/>
    </row>
    <row r="28" spans="2:13" x14ac:dyDescent="0.25">
      <c r="B28" s="86" t="s">
        <v>150</v>
      </c>
      <c r="C28" s="87">
        <f>1650+1523</f>
        <v>3173</v>
      </c>
      <c r="D28" s="99"/>
      <c r="I28" s="49"/>
    </row>
    <row r="29" spans="2:13" x14ac:dyDescent="0.25">
      <c r="B29" s="86" t="s">
        <v>270</v>
      </c>
      <c r="C29" s="88">
        <f>4212+2009</f>
        <v>6221</v>
      </c>
      <c r="D29" s="69"/>
      <c r="I29" s="49"/>
    </row>
    <row r="30" spans="2:13" x14ac:dyDescent="0.25">
      <c r="B30" s="86" t="s">
        <v>151</v>
      </c>
      <c r="C30" s="88">
        <f>2409+1650</f>
        <v>4059</v>
      </c>
      <c r="D30" s="69"/>
      <c r="I30" s="49"/>
    </row>
    <row r="31" spans="2:13" x14ac:dyDescent="0.25">
      <c r="B31" s="86" t="s">
        <v>271</v>
      </c>
      <c r="C31" s="87">
        <f>5718+3246</f>
        <v>8964</v>
      </c>
      <c r="D31" s="99"/>
      <c r="H31" s="70"/>
    </row>
    <row r="32" spans="2:13" x14ac:dyDescent="0.25">
      <c r="B32" s="86" t="s">
        <v>152</v>
      </c>
      <c r="C32" s="88">
        <f>2409+1650</f>
        <v>4059</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11130.565001296907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57220.441454067375</v>
      </c>
      <c r="G4" s="183" t="s">
        <v>260</v>
      </c>
      <c r="H4" s="183"/>
      <c r="I4" s="183"/>
      <c r="J4" s="183"/>
      <c r="L4" s="136"/>
      <c r="M4" s="137">
        <v>2018</v>
      </c>
      <c r="N4" s="138">
        <f>_2018_Volume_ADT</f>
        <v>49099</v>
      </c>
      <c r="O4" s="139" t="s">
        <v>85</v>
      </c>
      <c r="P4" s="140">
        <f>MIN(B12,1)</f>
        <v>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64086.894428555468</v>
      </c>
      <c r="G5" s="184" t="s">
        <v>261</v>
      </c>
      <c r="H5" s="184"/>
      <c r="I5" s="184"/>
      <c r="J5" s="143">
        <f>SUMPRODUCT(Possible_Crash_Reductions,'Value of Statistical Life'!E5:E11)</f>
        <v>1954109.4153830139</v>
      </c>
      <c r="L5" s="136"/>
      <c r="M5" s="144">
        <f t="shared" ref="M5:M36" si="1">M4+1</f>
        <v>2019</v>
      </c>
      <c r="N5" s="145">
        <f>N4+(N4*O5)</f>
        <v>50625.387257082046</v>
      </c>
      <c r="O5" s="146">
        <f t="shared" ref="O5:O11" si="2">IF(ISERROR(_2025_2045_Demand_Growth),_2018_2045_Demand_Growth,_2018_2025_Demand_Growth)</f>
        <v>3.1087950000652675E-2</v>
      </c>
      <c r="P5" s="147">
        <f t="shared" ref="P5:P11" si="3">P4*(1+IFERROR(_2018_2025_V_C_Growth,_2018_2045_V_C_Growth))</f>
        <v>0.99544503734129486</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16662592.551424421</v>
      </c>
      <c r="L6" s="136"/>
      <c r="M6" s="137">
        <f t="shared" si="1"/>
        <v>2020</v>
      </c>
      <c r="N6" s="145">
        <f t="shared" ref="N6:N36" si="6">N5+(N5*O6)</f>
        <v>52199.226764893894</v>
      </c>
      <c r="O6" s="146">
        <f t="shared" si="2"/>
        <v>3.1087950000652675E-2</v>
      </c>
      <c r="P6" s="147">
        <f t="shared" si="3"/>
        <v>0.9909108223674119</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53821.993716633646</v>
      </c>
      <c r="O7" s="146">
        <f t="shared" si="2"/>
        <v>3.1087950000652675E-2</v>
      </c>
      <c r="P7" s="147">
        <f t="shared" si="3"/>
        <v>0.98639726057342159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55495.209166231798</v>
      </c>
      <c r="O8" s="146">
        <f t="shared" si="2"/>
        <v>3.1087950000652675E-2</v>
      </c>
      <c r="P8" s="147">
        <f t="shared" si="3"/>
        <v>0.98190425788486058</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3.1087950000652675E-2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57220.441454067375</v>
      </c>
      <c r="O9" s="146">
        <f t="shared" si="2"/>
        <v>3.1087950000652675E-2</v>
      </c>
      <c r="P9" s="147">
        <f t="shared" si="3"/>
        <v>0.97743172065577144</v>
      </c>
      <c r="Q9" s="148">
        <f t="shared" si="4"/>
        <v>1</v>
      </c>
      <c r="R9" s="37">
        <f>IF(M9=Year_Open_to_Traffic?,Calculations!$J$5,Calculations!R8+(Calculations!R8*Calculations!O9*Q9))</f>
        <v>1954109.4153830139</v>
      </c>
      <c r="S9" s="54">
        <f t="shared" si="0"/>
        <v>1</v>
      </c>
      <c r="T9" s="37">
        <f t="shared" si="5"/>
        <v>1954.1094153830138</v>
      </c>
      <c r="U9" s="142">
        <f>T9/(1+Real_Discount_Rate)^(Calculations!M9-'Assumed Values'!$C$5)</f>
        <v>1393.2530063669997</v>
      </c>
    </row>
    <row r="10" spans="1:21" ht="15.75" x14ac:dyDescent="0.25">
      <c r="A10" s="152" t="s">
        <v>106</v>
      </c>
      <c r="B10" s="153">
        <f>(_2045_Peak_Period_Volume/_2025_Peak_Period_Volume)^(1/(2045-2025))-1</f>
        <v>1.8432106848501828E-2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58999.307677006698</v>
      </c>
      <c r="O10" s="146">
        <f t="shared" si="2"/>
        <v>3.1087950000652675E-2</v>
      </c>
      <c r="P10" s="147">
        <f t="shared" si="3"/>
        <v>0.97297955566675054</v>
      </c>
      <c r="Q10" s="148">
        <f t="shared" si="4"/>
        <v>1</v>
      </c>
      <c r="R10" s="37">
        <f>IF(M10=Year_Open_to_Traffic?,Calculations!$J$5,Calculations!R9+(Calculations!R9*Calculations!O10*Q10))</f>
        <v>2014858.6711842457</v>
      </c>
      <c r="S10" s="54">
        <f t="shared" si="0"/>
        <v>1</v>
      </c>
      <c r="T10" s="37">
        <f t="shared" si="5"/>
        <v>2014.8586711842456</v>
      </c>
      <c r="U10" s="142">
        <f>T10/(1+Real_Discount_Rate)^(Calculations!M10-'Assumed Values'!$C$5)</f>
        <v>1342.5854076328935</v>
      </c>
    </row>
    <row r="11" spans="1:21" ht="15.75" x14ac:dyDescent="0.25">
      <c r="A11" s="152" t="s">
        <v>107</v>
      </c>
      <c r="B11" s="153">
        <f>(_2045_Peak_Period_Volume/'Inputs &amp; Outputs'!$C$27)^(1/(2045-2018))-1</f>
        <v>2.1698257824172895E-2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60833.475204142604</v>
      </c>
      <c r="O11" s="146">
        <f t="shared" si="2"/>
        <v>3.1087950000652675E-2</v>
      </c>
      <c r="P11" s="147">
        <f t="shared" si="3"/>
        <v>0.96854767012300502</v>
      </c>
      <c r="Q11" s="148">
        <f t="shared" si="4"/>
        <v>1</v>
      </c>
      <c r="R11" s="37">
        <f>IF(M11=Year_Open_to_Traffic?,Calculations!$J$5,Calculations!R10+(Calculations!R10*Calculations!O11*Q11))</f>
        <v>2077496.496812403</v>
      </c>
      <c r="S11" s="54">
        <f t="shared" si="0"/>
        <v>1</v>
      </c>
      <c r="T11" s="37">
        <f t="shared" si="5"/>
        <v>2077.4964968124032</v>
      </c>
      <c r="U11" s="142">
        <f>T11/(1+Real_Discount_Rate)^(Calculations!M11-'Assumed Values'!$C$5)</f>
        <v>1293.7604071560663</v>
      </c>
    </row>
    <row r="12" spans="1:21" ht="15.75" x14ac:dyDescent="0.25">
      <c r="A12" s="152" t="s">
        <v>75</v>
      </c>
      <c r="B12" s="156">
        <f>'Inputs &amp; Outputs'!C27/_2018_Peak_Period_Capacity</f>
        <v>1.5824141191301608</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61954.764319071044</v>
      </c>
      <c r="O12" s="146">
        <f t="shared" ref="O12:O36" si="7">IFERROR(_2025_2045_Demand_Growth,_2018_2045_Demand_Growth)</f>
        <v>1.8432106848501828E-2</v>
      </c>
      <c r="P12" s="147">
        <f t="shared" ref="P12:P36" si="8">P11*(1+IFERROR(_2025_2040_V_C_Growth,_2018_2045_V_C_Growth))</f>
        <v>0.98640004426657979</v>
      </c>
      <c r="Q12" s="148">
        <f t="shared" si="4"/>
        <v>1</v>
      </c>
      <c r="R12" s="37">
        <f>IF(M12=Year_Open_to_Traffic?,Calculations!$J$5,Calculations!R11+(Calculations!R11*Calculations!O12*Q12))</f>
        <v>2115789.1342190374</v>
      </c>
      <c r="S12" s="54">
        <f t="shared" si="0"/>
        <v>1</v>
      </c>
      <c r="T12" s="37">
        <f t="shared" si="5"/>
        <v>2115.7891342190374</v>
      </c>
      <c r="U12" s="142">
        <f>T12/(1+Real_Discount_Rate)^(Calculations!M12-'Assumed Values'!$C$5)</f>
        <v>1231.4085394552599</v>
      </c>
    </row>
    <row r="13" spans="1:21" ht="15.75" x14ac:dyDescent="0.25">
      <c r="A13" s="152" t="s">
        <v>74</v>
      </c>
      <c r="B13" s="156">
        <f>_2025_Peak_Period_Volume/_2025_Peak_Period_Capacity</f>
        <v>1.5326435082532643</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63096.721154773913</v>
      </c>
      <c r="O13" s="146">
        <f t="shared" si="7"/>
        <v>1.8432106848501828E-2</v>
      </c>
      <c r="P13" s="147">
        <f t="shared" si="8"/>
        <v>1.0045814752778683</v>
      </c>
      <c r="Q13" s="148">
        <f t="shared" si="4"/>
        <v>0</v>
      </c>
      <c r="R13" s="37">
        <f>IF(M13=Year_Open_to_Traffic?,Calculations!$J$5,Calculations!R12+(Calculations!R12*Calculations!O13*Q13))</f>
        <v>2115789.1342190374</v>
      </c>
      <c r="S13" s="54">
        <f t="shared" si="0"/>
        <v>1</v>
      </c>
      <c r="T13" s="37">
        <f t="shared" si="5"/>
        <v>2115.7891342190374</v>
      </c>
      <c r="U13" s="142">
        <f>T13/(1+Real_Discount_Rate)^(Calculations!M13-'Assumed Values'!$C$5)</f>
        <v>1150.8491022946353</v>
      </c>
    </row>
    <row r="14" spans="1:21" ht="15.75" x14ac:dyDescent="0.25">
      <c r="A14" s="152" t="s">
        <v>148</v>
      </c>
      <c r="B14" s="156">
        <f>_2045_Peak_Period_Volume/_2045_Peak_Period_Capacity</f>
        <v>2.2084257206208426</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64259.726660888831</v>
      </c>
      <c r="O14" s="146">
        <f t="shared" si="7"/>
        <v>1.8432106848501828E-2</v>
      </c>
      <c r="P14" s="147">
        <f>P13*(1+IFERROR(_2025_2040_V_C_Growth,_2018_2045_V_C_Growth))</f>
        <v>1.0230980283682156</v>
      </c>
      <c r="Q14" s="148">
        <f t="shared" si="4"/>
        <v>0</v>
      </c>
      <c r="R14" s="37">
        <f>IF(M14=Year_Open_to_Traffic?,Calculations!$J$5,Calculations!R13+(Calculations!R13*Calculations!O14*Q14))</f>
        <v>2115789.1342190374</v>
      </c>
      <c r="S14" s="54">
        <f t="shared" si="0"/>
        <v>1</v>
      </c>
      <c r="T14" s="37">
        <f t="shared" si="5"/>
        <v>2115.7891342190374</v>
      </c>
      <c r="U14" s="142">
        <f>T14/(1+Real_Discount_Rate)^(Calculations!M14-'Assumed Values'!$C$5)</f>
        <v>1075.559908686575</v>
      </c>
    </row>
    <row r="15" spans="1:21" ht="15.75" x14ac:dyDescent="0.25">
      <c r="A15" s="152" t="s">
        <v>80</v>
      </c>
      <c r="B15" s="153">
        <f>(B13/B12)^(1/(2025-2018))-1</f>
        <v>-4.5549626587051417E-3</v>
      </c>
      <c r="L15" s="136"/>
      <c r="M15" s="144">
        <f>M14+1</f>
        <v>2029</v>
      </c>
      <c r="N15" s="145">
        <f t="shared" si="6"/>
        <v>65444.168808757859</v>
      </c>
      <c r="O15" s="146">
        <f t="shared" si="7"/>
        <v>1.8432106848501828E-2</v>
      </c>
      <c r="P15" s="147">
        <f>P14*(1+IFERROR(_2025_2040_V_C_Growth,_2018_2045_V_C_Growth))</f>
        <v>1.0419558805435902</v>
      </c>
      <c r="Q15" s="148">
        <f t="shared" si="4"/>
        <v>0</v>
      </c>
      <c r="R15" s="37">
        <f>IF(M15=Year_Open_to_Traffic?,Calculations!$J$5,Calculations!R14+(Calculations!R14*Calculations!O15*Q15))</f>
        <v>2115789.1342190374</v>
      </c>
      <c r="S15" s="54">
        <f t="shared" si="0"/>
        <v>1</v>
      </c>
      <c r="T15" s="37">
        <f t="shared" si="5"/>
        <v>2115.7891342190374</v>
      </c>
      <c r="U15" s="142">
        <f>T15/(1+Real_Discount_Rate)^(Calculations!M15-'Assumed Values'!$C$5)</f>
        <v>1005.1961763425934</v>
      </c>
    </row>
    <row r="16" spans="1:21" ht="15.75" x14ac:dyDescent="0.25">
      <c r="A16" s="152" t="s">
        <v>108</v>
      </c>
      <c r="B16" s="153">
        <f>(B14/B13)^(1/(2045-2025))-1</f>
        <v>1.8432106848501828E-2</v>
      </c>
      <c r="D16" s="157" t="s">
        <v>136</v>
      </c>
      <c r="E16" s="151"/>
      <c r="L16" s="136"/>
      <c r="M16" s="137">
        <f t="shared" si="1"/>
        <v>2030</v>
      </c>
      <c r="N16" s="145">
        <f t="shared" si="6"/>
        <v>66650.442720852268</v>
      </c>
      <c r="O16" s="146">
        <f t="shared" si="7"/>
        <v>1.8432106848501828E-2</v>
      </c>
      <c r="P16" s="147">
        <f t="shared" si="8"/>
        <v>1.0611613226651946</v>
      </c>
      <c r="Q16" s="148">
        <f t="shared" si="4"/>
        <v>0</v>
      </c>
      <c r="R16" s="37">
        <f>IF(M16=Year_Open_to_Traffic?,Calculations!$J$5,Calculations!R15+(Calculations!R15*Calculations!O16*Q16))</f>
        <v>2115789.1342190374</v>
      </c>
      <c r="S16" s="54">
        <f t="shared" si="0"/>
        <v>1</v>
      </c>
      <c r="T16" s="37">
        <f t="shared" si="5"/>
        <v>2115.7891342190374</v>
      </c>
      <c r="U16" s="142">
        <f>T16/(1+Real_Discount_Rate)^(Calculations!M16-'Assumed Values'!$C$5)</f>
        <v>939.43567882485377</v>
      </c>
    </row>
    <row r="17" spans="1:21" ht="15.75" x14ac:dyDescent="0.25">
      <c r="A17" s="152" t="s">
        <v>109</v>
      </c>
      <c r="B17" s="153">
        <f>(B14/B12)^(1/(2045-2018))-1</f>
        <v>1.2422013266178089E-2</v>
      </c>
      <c r="D17" s="152" t="s">
        <v>89</v>
      </c>
      <c r="E17" s="158">
        <f>($E$6*Death_Rate)/100000000</f>
        <v>0.29085790912707643</v>
      </c>
      <c r="L17" s="136"/>
      <c r="M17" s="144">
        <f t="shared" si="1"/>
        <v>2031</v>
      </c>
      <c r="N17" s="145">
        <f t="shared" si="6"/>
        <v>67878.950802582971</v>
      </c>
      <c r="O17" s="146">
        <f t="shared" si="7"/>
        <v>1.8432106848501828E-2</v>
      </c>
      <c r="P17" s="147">
        <f t="shared" si="8"/>
        <v>1.080720761548057</v>
      </c>
      <c r="Q17" s="148">
        <f t="shared" si="4"/>
        <v>0</v>
      </c>
      <c r="R17" s="37">
        <f>IF(M17=Year_Open_to_Traffic?,Calculations!$J$5,Calculations!R16+(Calculations!R16*Calculations!O17*Q17))</f>
        <v>2115789.1342190374</v>
      </c>
      <c r="S17" s="54">
        <f t="shared" si="0"/>
        <v>1</v>
      </c>
      <c r="T17" s="37">
        <f t="shared" si="5"/>
        <v>2115.7891342190374</v>
      </c>
      <c r="U17" s="142">
        <f>T17/(1+Real_Discount_Rate)^(Calculations!M17-'Assumed Values'!$C$5)</f>
        <v>877.97726992976982</v>
      </c>
    </row>
    <row r="18" spans="1:21" ht="15.75" x14ac:dyDescent="0.25">
      <c r="D18" s="152" t="s">
        <v>94</v>
      </c>
      <c r="E18" s="158">
        <f>($E$6*Incap_Injry_Rate)/100000000</f>
        <v>1.4702398180713836</v>
      </c>
      <c r="L18" s="136"/>
      <c r="M18" s="137">
        <f t="shared" si="1"/>
        <v>2032</v>
      </c>
      <c r="N18" s="145">
        <f t="shared" si="6"/>
        <v>69130.102876540375</v>
      </c>
      <c r="O18" s="146">
        <f t="shared" si="7"/>
        <v>1.8432106848501828E-2</v>
      </c>
      <c r="P18" s="147">
        <f t="shared" si="8"/>
        <v>1.100640722098305</v>
      </c>
      <c r="Q18" s="148">
        <f t="shared" si="4"/>
        <v>0</v>
      </c>
      <c r="R18" s="37">
        <f>IF(M18=Year_Open_to_Traffic?,Calculations!$J$5,Calculations!R17+(Calculations!R17*Calculations!O18*Q18))</f>
        <v>2115789.1342190374</v>
      </c>
      <c r="S18" s="54">
        <f t="shared" si="0"/>
        <v>1</v>
      </c>
      <c r="T18" s="37">
        <f t="shared" si="5"/>
        <v>2115.7891342190374</v>
      </c>
      <c r="U18" s="142">
        <f>T18/(1+Real_Discount_Rate)^(Calculations!M18-'Assumed Values'!$C$5)</f>
        <v>820.53950460726162</v>
      </c>
    </row>
    <row r="19" spans="1:21" ht="15.75" x14ac:dyDescent="0.25">
      <c r="D19" s="152" t="s">
        <v>93</v>
      </c>
      <c r="E19" s="158">
        <f>($E$6*Nonincap_Injry_Rate)/100000000</f>
        <v>8.2950799180402672</v>
      </c>
      <c r="L19" s="136"/>
      <c r="M19" s="144">
        <f t="shared" si="1"/>
        <v>2033</v>
      </c>
      <c r="N19" s="145">
        <f t="shared" si="6"/>
        <v>70404.316319208694</v>
      </c>
      <c r="O19" s="146">
        <f t="shared" si="7"/>
        <v>1.8432106848501828E-2</v>
      </c>
      <c r="P19" s="147">
        <f t="shared" si="8"/>
        <v>1.1209278494898332</v>
      </c>
      <c r="Q19" s="148">
        <f t="shared" si="4"/>
        <v>0</v>
      </c>
      <c r="R19" s="37">
        <f>IF(M19=Year_Open_to_Traffic?,Calculations!$J$5,Calculations!R18+(Calculations!R18*Calculations!O19*Q19))</f>
        <v>2115789.1342190374</v>
      </c>
      <c r="S19" s="54">
        <f t="shared" si="0"/>
        <v>0</v>
      </c>
      <c r="T19" s="37">
        <f t="shared" si="5"/>
        <v>0</v>
      </c>
      <c r="U19" s="142">
        <f>T19/(1+Real_Discount_Rate)^(Calculations!M19-'Assumed Values'!$C$5)</f>
        <v>0</v>
      </c>
    </row>
    <row r="20" spans="1:21" ht="15.75" x14ac:dyDescent="0.25">
      <c r="D20" s="152" t="s">
        <v>92</v>
      </c>
      <c r="E20" s="158">
        <f>($E$6*Poss_Injry_Rate/100000000)</f>
        <v>20.708144878528081</v>
      </c>
      <c r="L20" s="136"/>
      <c r="M20" s="137">
        <f t="shared" si="1"/>
        <v>2034</v>
      </c>
      <c r="N20" s="145">
        <f t="shared" si="6"/>
        <v>71702.016200200072</v>
      </c>
      <c r="O20" s="146">
        <f t="shared" si="7"/>
        <v>1.8432106848501828E-2</v>
      </c>
      <c r="P20" s="147">
        <f t="shared" si="8"/>
        <v>1.1415889113810911</v>
      </c>
      <c r="Q20" s="148">
        <f t="shared" si="4"/>
        <v>0</v>
      </c>
      <c r="R20" s="37">
        <f>IF(M20=Year_Open_to_Traffic?,Calculations!$J$5,Calculations!R19+(Calculations!R19*Calculations!O20*Q20))</f>
        <v>2115789.1342190374</v>
      </c>
      <c r="S20" s="54">
        <f t="shared" si="0"/>
        <v>0</v>
      </c>
      <c r="T20" s="37">
        <f t="shared" si="5"/>
        <v>0</v>
      </c>
      <c r="U20" s="142">
        <f>T20/(1+Real_Discount_Rate)^(Calculations!M20-'Assumed Values'!$C$5)</f>
        <v>0</v>
      </c>
    </row>
    <row r="21" spans="1:21" ht="15.75" x14ac:dyDescent="0.25">
      <c r="D21" s="152" t="s">
        <v>91</v>
      </c>
      <c r="E21" s="158">
        <f>($E$6*Non_Injry_Rate)/100000000</f>
        <v>160.57045436190197</v>
      </c>
      <c r="L21" s="136"/>
      <c r="M21" s="144">
        <f>M20+1</f>
        <v>2035</v>
      </c>
      <c r="N21" s="145">
        <f t="shared" si="6"/>
        <v>73023.635424055174</v>
      </c>
      <c r="O21" s="146">
        <f t="shared" si="7"/>
        <v>1.8432106848501828E-2</v>
      </c>
      <c r="P21" s="147">
        <f>P20*(1+IFERROR(_2025_2040_V_C_Growth,_2018_2045_V_C_Growth))</f>
        <v>1.1626308001727323</v>
      </c>
      <c r="Q21" s="148">
        <f t="shared" si="4"/>
        <v>0</v>
      </c>
      <c r="R21" s="37">
        <f>IF(M21=Year_Open_to_Traffic?,Calculations!$J$5,Calculations!R20+(Calculations!R20*Calculations!O21*Q21))</f>
        <v>2115789.1342190374</v>
      </c>
      <c r="S21" s="54">
        <f t="shared" si="0"/>
        <v>0</v>
      </c>
      <c r="T21" s="37">
        <f t="shared" si="5"/>
        <v>0</v>
      </c>
      <c r="U21" s="142">
        <f>T21/(1+Real_Discount_Rate)^(Calculations!M21-'Assumed Values'!$C$5)</f>
        <v>0</v>
      </c>
    </row>
    <row r="22" spans="1:21" ht="15.75" x14ac:dyDescent="0.25">
      <c r="D22" s="152" t="s">
        <v>90</v>
      </c>
      <c r="E22" s="158">
        <f>($E$6*Unkn_Injry_Rate)/100000000</f>
        <v>13.933032098506727</v>
      </c>
      <c r="L22" s="136"/>
      <c r="M22" s="137">
        <f>M21+1</f>
        <v>2036</v>
      </c>
      <c r="N22" s="145">
        <f t="shared" si="6"/>
        <v>74369.614874657404</v>
      </c>
      <c r="O22" s="146">
        <f t="shared" si="7"/>
        <v>1.8432106848501828E-2</v>
      </c>
      <c r="P22" s="147">
        <f t="shared" si="8"/>
        <v>1.1840605353068754</v>
      </c>
      <c r="Q22" s="148">
        <f t="shared" si="4"/>
        <v>0</v>
      </c>
      <c r="R22" s="37">
        <f>IF(M22=Year_Open_to_Traffic?,Calculations!$J$5,Calculations!R21+(Calculations!R21*Calculations!O22*Q22))</f>
        <v>2115789.1342190374</v>
      </c>
      <c r="S22" s="54">
        <f t="shared" si="0"/>
        <v>0</v>
      </c>
      <c r="T22" s="37">
        <f t="shared" si="5"/>
        <v>0</v>
      </c>
      <c r="U22" s="142">
        <f>T22/(1+Real_Discount_Rate)^(Calculations!M22-'Assumed Values'!$C$5)</f>
        <v>0</v>
      </c>
    </row>
    <row r="23" spans="1:21" ht="15.75" x14ac:dyDescent="0.25">
      <c r="L23" s="136"/>
      <c r="M23" s="144">
        <f t="shared" si="1"/>
        <v>2037</v>
      </c>
      <c r="N23" s="145">
        <f t="shared" si="6"/>
        <v>75740.403562309017</v>
      </c>
      <c r="O23" s="146">
        <f t="shared" si="7"/>
        <v>1.8432106848501828E-2</v>
      </c>
      <c r="P23" s="147">
        <f t="shared" si="8"/>
        <v>1.205885265608746</v>
      </c>
      <c r="Q23" s="148">
        <f t="shared" si="4"/>
        <v>0</v>
      </c>
      <c r="R23" s="37">
        <f>IF(M23=Year_Open_to_Traffic?,Calculations!$J$5,Calculations!R22+(Calculations!R22*Calculations!O23*Q23))</f>
        <v>2115789.1342190374</v>
      </c>
      <c r="S23" s="54">
        <f t="shared" si="0"/>
        <v>0</v>
      </c>
      <c r="T23" s="37">
        <f t="shared" si="5"/>
        <v>0</v>
      </c>
      <c r="U23" s="142">
        <f>T23/(1+Real_Discount_Rate)^(Calculations!M23-'Assumed Values'!$C$5)</f>
        <v>0</v>
      </c>
    </row>
    <row r="24" spans="1:21" ht="15.75" x14ac:dyDescent="0.25">
      <c r="L24" s="136"/>
      <c r="M24" s="137">
        <f t="shared" si="1"/>
        <v>2038</v>
      </c>
      <c r="N24" s="145">
        <f t="shared" si="6"/>
        <v>77136.458773518141</v>
      </c>
      <c r="O24" s="146">
        <f t="shared" si="7"/>
        <v>1.8432106848501828E-2</v>
      </c>
      <c r="P24" s="147">
        <f t="shared" si="8"/>
        <v>1.2281122716714803</v>
      </c>
      <c r="Q24" s="148">
        <f t="shared" si="4"/>
        <v>0</v>
      </c>
      <c r="R24" s="37">
        <f>IF(M24=Year_Open_to_Traffic?,Calculations!$J$5,Calculations!R23+(Calculations!R23*Calculations!O24*Q24))</f>
        <v>2115789.1342190374</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78558.246223546681</v>
      </c>
      <c r="O25" s="146">
        <f t="shared" si="7"/>
        <v>1.8432106848501828E-2</v>
      </c>
      <c r="P25" s="147">
        <f t="shared" si="8"/>
        <v>1.2507489682848854</v>
      </c>
      <c r="Q25" s="148">
        <f t="shared" si="4"/>
        <v>0</v>
      </c>
      <c r="R25" s="37">
        <f>IF(M25=Year_Open_to_Traffic?,Calculations!$J$5,Calculations!R24+(Calculations!R24*Calculations!O25*Q25))</f>
        <v>2115789.1342190374</v>
      </c>
      <c r="S25" s="54">
        <f t="shared" si="0"/>
        <v>0</v>
      </c>
      <c r="T25" s="37">
        <f t="shared" si="5"/>
        <v>0</v>
      </c>
      <c r="U25" s="142">
        <f>T25/(1+Real_Discount_Rate)^(Calculations!M25-'Assumed Values'!$C$5)</f>
        <v>0</v>
      </c>
    </row>
    <row r="26" spans="1:21" ht="15.75" x14ac:dyDescent="0.25">
      <c r="A26" s="181"/>
      <c r="B26" s="181"/>
      <c r="D26" s="160">
        <f>Calculations!E17</f>
        <v>0.29085790912707643</v>
      </c>
      <c r="E26" s="160">
        <f>Calculations!E18</f>
        <v>1.4702398180713836</v>
      </c>
      <c r="F26" s="160">
        <f>Calculations!E19</f>
        <v>8.2950799180402672</v>
      </c>
      <c r="G26" s="160">
        <f>Calculations!E20</f>
        <v>20.708144878528081</v>
      </c>
      <c r="H26" s="160">
        <f>Calculations!E21</f>
        <v>160.57045436190197</v>
      </c>
      <c r="I26" s="160">
        <f>Calculations!E22</f>
        <v>13.933032098506727</v>
      </c>
      <c r="J26" s="182"/>
      <c r="L26" s="136"/>
      <c r="M26" s="137">
        <f t="shared" si="1"/>
        <v>2040</v>
      </c>
      <c r="N26" s="145">
        <f t="shared" si="6"/>
        <v>80006.240211770011</v>
      </c>
      <c r="O26" s="146">
        <f t="shared" si="7"/>
        <v>1.8432106848501828E-2</v>
      </c>
      <c r="P26" s="147">
        <f t="shared" si="8"/>
        <v>1.2738029069089658</v>
      </c>
      <c r="Q26" s="148">
        <f t="shared" si="4"/>
        <v>0</v>
      </c>
      <c r="R26" s="37">
        <f>IF(M26=Year_Open_to_Traffic?,Calculations!$J$5,Calculations!R25+(Calculations!R25*Calculations!O26*Q26))</f>
        <v>2115789.1342190374</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1.1117071360364959E-2</v>
      </c>
      <c r="F27" s="163">
        <f>F$26*'Value of Statistical Life'!F17*Appropriate_Crash_Reduction_Factor</f>
        <v>0.15232587056694064</v>
      </c>
      <c r="G27" s="163">
        <f>G$26*'Value of Statistical Life'!G17*Appropriate_Crash_Reduction_Factor</f>
        <v>1.0677409413397376</v>
      </c>
      <c r="H27" s="163">
        <f>H$26*'Value of Statistical Life'!H17*Appropriate_Crash_Reduction_Factor</f>
        <v>32.688098132633321</v>
      </c>
      <c r="I27" s="163">
        <f>I$26*'Value of Statistical Life'!I17*Appropriate_Crash_Reduction_Factor</f>
        <v>1.3387860418556354</v>
      </c>
      <c r="J27" s="163">
        <f t="shared" ref="J27:J33" si="9">SUM(D27:I27)</f>
        <v>35.258068057755999</v>
      </c>
      <c r="K27" s="164"/>
      <c r="L27" s="136"/>
      <c r="M27" s="144">
        <f t="shared" si="1"/>
        <v>2041</v>
      </c>
      <c r="N27" s="145">
        <f t="shared" si="6"/>
        <v>81480.923779900259</v>
      </c>
      <c r="O27" s="146">
        <f t="shared" si="7"/>
        <v>1.8432106848501828E-2</v>
      </c>
      <c r="P27" s="147">
        <f t="shared" si="8"/>
        <v>1.2972817781930441</v>
      </c>
      <c r="Q27" s="148">
        <f t="shared" si="4"/>
        <v>0</v>
      </c>
      <c r="R27" s="37">
        <f>IF(M27=Year_Open_to_Traffic?,Calculations!$J$5,Calculations!R26+(Calculations!R26*Calculations!O27*Q27))</f>
        <v>2115789.1342190374</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0.17935132087892833</v>
      </c>
      <c r="F28" s="163">
        <f>F$26*'Value of Statistical Life'!F18*Appropriate_Crash_Reduction_Factor</f>
        <v>1.4023214175123302</v>
      </c>
      <c r="G28" s="163">
        <f>G$26*'Value of Statistical Life'!G18*Appropriate_Crash_Reduction_Factor</f>
        <v>3.1410362649489936</v>
      </c>
      <c r="H28" s="163">
        <f>H$26*'Value of Statistical Life'!H18*Appropriate_Crash_Reduction_Factor</f>
        <v>2.5635715320695094</v>
      </c>
      <c r="I28" s="163">
        <f>I$26*'Value of Statistical Life'!I18*Appropriate_Crash_Reduction_Factor</f>
        <v>1.279411818871059</v>
      </c>
      <c r="J28" s="163">
        <f t="shared" si="9"/>
        <v>8.5656923542808219</v>
      </c>
      <c r="K28" s="164"/>
      <c r="L28" s="136"/>
      <c r="M28" s="137">
        <f t="shared" si="1"/>
        <v>2042</v>
      </c>
      <c r="N28" s="145">
        <f t="shared" si="6"/>
        <v>82982.788873126017</v>
      </c>
      <c r="O28" s="146">
        <f t="shared" si="7"/>
        <v>1.8432106848501828E-2</v>
      </c>
      <c r="P28" s="147">
        <f t="shared" si="8"/>
        <v>1.3211934145413127</v>
      </c>
      <c r="Q28" s="148">
        <f t="shared" si="4"/>
        <v>0</v>
      </c>
      <c r="R28" s="37">
        <f>IF(M28=Year_Open_to_Traffic?,Calculations!$J$5,Calculations!R27+(Calculations!R27*Calculations!O28*Q28))</f>
        <v>2115789.1342190374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6.7627503055720267E-2</v>
      </c>
      <c r="F29" s="163">
        <f>F$26*'Value of Statistical Life'!F19*Appropriate_Crash_Reduction_Factor</f>
        <v>0.19887951808296622</v>
      </c>
      <c r="G29" s="163">
        <f>G$26*'Value of Statistical Life'!G19*Appropriate_Crash_Reduction_Factor</f>
        <v>0.29116065862108054</v>
      </c>
      <c r="H29" s="163">
        <f>H$26*'Value of Statistical Life'!H19*Appropriate_Crash_Reduction_Factor</f>
        <v>6.9944489920044497E-2</v>
      </c>
      <c r="I29" s="163">
        <f>I$26*'Value of Statistical Life'!I19*Appropriate_Crash_Reduction_Factor</f>
        <v>0.27195049371149366</v>
      </c>
      <c r="J29" s="163">
        <f t="shared" si="9"/>
        <v>0.8995626633913052</v>
      </c>
      <c r="K29" s="164"/>
      <c r="L29" s="136"/>
      <c r="M29" s="144">
        <f t="shared" si="1"/>
        <v>2043</v>
      </c>
      <c r="N29" s="145">
        <f t="shared" si="6"/>
        <v>84512.336504222141</v>
      </c>
      <c r="O29" s="146">
        <f t="shared" si="7"/>
        <v>1.8432106848501828E-2</v>
      </c>
      <c r="P29" s="147">
        <f t="shared" si="8"/>
        <v>1.3455457927256751</v>
      </c>
      <c r="Q29" s="148">
        <f t="shared" si="4"/>
        <v>0</v>
      </c>
      <c r="R29" s="37">
        <f>IF(M29=Year_Open_to_Traffic?,Calculations!$J$5,Calculations!R28+(Calculations!R28*Calculations!O29*Q29))</f>
        <v>2115789.1342190374</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4.6696874957692446E-2</v>
      </c>
      <c r="F30" s="163">
        <f>F$26*'Value of Statistical Life'!F20*Appropriate_Crash_Reduction_Factor</f>
        <v>5.8233120040626286E-2</v>
      </c>
      <c r="G30" s="163">
        <f>G$26*'Value of Statistical Life'!G20*Appropriate_Crash_Reduction_Factor</f>
        <v>4.8792530962787871E-2</v>
      </c>
      <c r="H30" s="163">
        <f>H$26*'Value of Statistical Life'!H20*Appropriate_Crash_Reduction_Factor</f>
        <v>2.8260399967694745E-3</v>
      </c>
      <c r="I30" s="163">
        <f>I$26*'Value of Statistical Life'!I20*Appropriate_Crash_Reduction_Factor</f>
        <v>0.14765391436071518</v>
      </c>
      <c r="J30" s="163">
        <f t="shared" si="9"/>
        <v>0.30420248031859126</v>
      </c>
      <c r="K30" s="164"/>
      <c r="L30" s="136"/>
      <c r="M30" s="144">
        <f t="shared" si="1"/>
        <v>2044</v>
      </c>
      <c r="N30" s="145">
        <f t="shared" si="6"/>
        <v>86070.0769206845</v>
      </c>
      <c r="O30" s="146">
        <f t="shared" si="7"/>
        <v>1.8432106848501828E-2</v>
      </c>
      <c r="P30" s="147">
        <f t="shared" si="8"/>
        <v>1.3703470365467467</v>
      </c>
      <c r="Q30" s="148">
        <f t="shared" si="4"/>
        <v>0</v>
      </c>
      <c r="R30" s="37">
        <f>IF(M30=Year_Open_to_Traffic?,Calculations!$J$5,Calculations!R29+(Calculations!R29*Calculations!O30*Q30))</f>
        <v>2115789.1342190374</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1.2892827012631577E-2</v>
      </c>
      <c r="F31" s="163">
        <f>F$26*'Value of Statistical Life'!F21*Appropriate_Crash_Reduction_Factor</f>
        <v>1.1314489008206925E-2</v>
      </c>
      <c r="G31" s="163">
        <f>G$26*'Value of Statistical Life'!G21*Appropriate_Crash_Reduction_Factor</f>
        <v>6.4692244600521726E-3</v>
      </c>
      <c r="H31" s="163">
        <f>H$26*'Value of Statistical Life'!H21*Appropriate_Crash_Reduction_Factor</f>
        <v>0</v>
      </c>
      <c r="I31" s="163">
        <f>I$26*'Value of Statistical Life'!I21*Appropriate_Crash_Reduction_Factor</f>
        <v>1.8912697770513031E-2</v>
      </c>
      <c r="J31" s="163">
        <f t="shared" si="9"/>
        <v>4.9589238251403711E-2</v>
      </c>
      <c r="K31" s="164"/>
      <c r="L31" s="136"/>
      <c r="M31" s="144">
        <f t="shared" si="1"/>
        <v>2045</v>
      </c>
      <c r="N31" s="145">
        <f t="shared" si="6"/>
        <v>87656.529774945331</v>
      </c>
      <c r="O31" s="146">
        <f t="shared" si="7"/>
        <v>1.8432106848501828E-2</v>
      </c>
      <c r="P31" s="147">
        <f t="shared" si="8"/>
        <v>1.3956054195439043</v>
      </c>
      <c r="Q31" s="148">
        <f t="shared" si="4"/>
        <v>0</v>
      </c>
      <c r="R31" s="37">
        <f>IF(M31=Year_Open_to_Traffic?,Calculations!$J$5,Calculations!R30+(Calculations!R30*Calculations!O31*Q31))</f>
        <v>2115789.1342190374</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5.7671627103668089E-3</v>
      </c>
      <c r="F32" s="163">
        <f>F$26*'Value of Statistical Life'!F22*Appropriate_Crash_Reduction_Factor</f>
        <v>1.8431667577885474E-3</v>
      </c>
      <c r="G32" s="163">
        <f>G$26*'Value of Statistical Life'!G22*Appropriate_Crash_Reduction_Factor</f>
        <v>5.9225294352590306E-4</v>
      </c>
      <c r="H32" s="163">
        <f>H$26*'Value of Statistical Life'!H22*Appropriate_Crash_Reduction_Factor</f>
        <v>1.0597649987885529E-3</v>
      </c>
      <c r="I32" s="163">
        <f>I$26*'Value of Statistical Life'!I22*Appropriate_Crash_Reduction_Factor</f>
        <v>8.552095102063428E-3</v>
      </c>
      <c r="J32" s="163">
        <f t="shared" si="9"/>
        <v>1.7814442512533241E-2</v>
      </c>
      <c r="K32" s="164"/>
      <c r="L32" s="136"/>
      <c r="M32" s="144">
        <f t="shared" si="1"/>
        <v>2046</v>
      </c>
      <c r="N32" s="145">
        <f t="shared" si="6"/>
        <v>89272.224297726003</v>
      </c>
      <c r="O32" s="146">
        <f t="shared" si="7"/>
        <v>1.8432106848501828E-2</v>
      </c>
      <c r="P32" s="147">
        <f t="shared" si="8"/>
        <v>1.4213293677552858</v>
      </c>
      <c r="Q32" s="148">
        <f t="shared" si="4"/>
        <v>0</v>
      </c>
      <c r="R32" s="37">
        <f>IF(M32=Year_Open_to_Traffic?,Calculations!$J$5,Calculations!R31+(Calculations!R31*Calculations!O32*Q32))</f>
        <v>2115789.1342190374</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6.3988740007956818E-2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6.3988740007956818E-2</v>
      </c>
      <c r="K33" s="164"/>
      <c r="L33" s="136"/>
      <c r="M33" s="144">
        <f t="shared" si="1"/>
        <v>2047</v>
      </c>
      <c r="N33" s="145">
        <f t="shared" si="6"/>
        <v>90917.699474585112</v>
      </c>
      <c r="O33" s="146">
        <f t="shared" si="7"/>
        <v>1.8432106848501828E-2</v>
      </c>
      <c r="P33" s="147">
        <f t="shared" si="8"/>
        <v>1.4475274625286649</v>
      </c>
      <c r="Q33" s="148">
        <f t="shared" si="4"/>
        <v>0</v>
      </c>
      <c r="R33" s="37">
        <f>IF(M33=Year_Open_to_Traffic?,Calculations!$J$5,Calculations!R32+(Calculations!R32*Calculations!O33*Q33))</f>
        <v>2115789.1342190374</v>
      </c>
      <c r="S33" s="54">
        <f t="shared" si="0"/>
        <v>0</v>
      </c>
      <c r="T33" s="37">
        <f t="shared" si="5"/>
        <v>0</v>
      </c>
      <c r="U33" s="142">
        <f>T33/(1+Real_Discount_Rate)^(Calculations!M33-'Assumed Values'!$C$5)</f>
        <v>0</v>
      </c>
    </row>
    <row r="34" spans="1:21" ht="15.75" x14ac:dyDescent="0.25">
      <c r="J34" s="166"/>
      <c r="L34" s="136"/>
      <c r="M34" s="144">
        <f t="shared" si="1"/>
        <v>2048</v>
      </c>
      <c r="N34" s="145">
        <f t="shared" si="6"/>
        <v>92593.504225720637</v>
      </c>
      <c r="O34" s="146">
        <f t="shared" si="7"/>
        <v>1.8432106848501828E-2</v>
      </c>
      <c r="P34" s="147">
        <f t="shared" si="8"/>
        <v>1.474208443384134</v>
      </c>
      <c r="Q34" s="148">
        <f t="shared" si="4"/>
        <v>0</v>
      </c>
      <c r="R34" s="37">
        <f>IF(M34=Year_Open_to_Traffic?,Calculations!$J$5,Calculations!R33+(Calculations!R33*Calculations!O34*Q34))</f>
        <v>2115789.1342190374</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94300.197589086325</v>
      </c>
      <c r="O35" s="146">
        <f t="shared" si="7"/>
        <v>1.8432106848501828E-2</v>
      </c>
      <c r="P35" s="147">
        <f t="shared" si="8"/>
        <v>1.5013812109295539</v>
      </c>
      <c r="Q35" s="148">
        <f t="shared" si="4"/>
        <v>0</v>
      </c>
      <c r="R35" s="37">
        <f>IF(M35=Year_Open_to_Traffic?,Calculations!$J$5,Calculations!R34+(Calculations!R34*Calculations!O35*Q35))</f>
        <v>2115789.1342190374</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96038.348906883199</v>
      </c>
      <c r="O36" s="146">
        <f t="shared" si="7"/>
        <v>1.8432106848501828E-2</v>
      </c>
      <c r="P36" s="147">
        <f t="shared" si="8"/>
        <v>1.5290548298297404</v>
      </c>
      <c r="Q36" s="148">
        <f t="shared" si="4"/>
        <v>0</v>
      </c>
      <c r="R36" s="37">
        <f>IF(M36=Year_Open_to_Traffic?,Calculations!$J$5,Calculations!R35+(Calculations!R35*Calculations!O36*Q36))</f>
        <v>2115789.1342190374</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11130.565001296907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4"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2018-08-02T18:58:13Z</cp:lastPrinted>
  <dcterms:created xsi:type="dcterms:W3CDTF">2012-07-25T15:48:32Z</dcterms:created>
  <dcterms:modified xsi:type="dcterms:W3CDTF">2018-10-31T19:59:24Z</dcterms:modified>
</cp:coreProperties>
</file>