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Engineering\Transportation and Mobility Program\Funding Options\H-GAC TIP 2019-2022\3 - Application\P5 - Williams Trace Reconstruction\"/>
    </mc:Choice>
  </mc:AlternateContent>
  <bookViews>
    <workbookView xWindow="0" yWindow="0" windowWidth="28800" windowHeight="11400" tabRatio="763" activeTab="3"/>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62913"/>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<sst xmlns="http://schemas.openxmlformats.org/spreadsheetml/2006/main" count="263" uniqueCount="131">
  <si>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</si>
  <si>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</si>
  <si>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</si>
  <si>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</si>
  <si>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</si>
  <si>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</si>
  <si>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</si>
  <si>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</si>
  <si>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</si>
  <si>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</si>
  <si>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</si>
  <si>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</si>
  <si>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</si>
  <si>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</si>
  <si>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</si>
  <si>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</si>
  <si>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</si>
  <si>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</si>
  <si>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</si>
  <si>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</si>
  <si>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</si>
  <si>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</si>
  <si>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</si>
  <si>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</si>
  <si>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</si>
  <si>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</si>
  <si>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</si>
  <si>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</si>
  <si>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</si>
  <si>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</si>
  <si>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</si>
  <si>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</si>
  <si>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</si>
  <si>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</si>
  <si>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</si>
  <si>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</si>
  <si>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</si>
  <si>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</si>
  <si>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</si>
  <si>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</si>
  <si>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</si>
  <si>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</si>
  <si>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</si>
  <si>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</si>
  <si>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</si>
  <si>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</si>
  <si>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</si>
  <si>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</si>
  <si>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</si>
  <si>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</si>
  <si>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</si>
  <si>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</si>
  <si>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</si>
  <si>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</si>
  <si>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</si>
  <si>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</si>
  <si>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</si>
  <si>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</si>
  <si>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</si>
  <si>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</si>
  <si>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</si>
  <si>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</si>
  <si>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</si>
  <si>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</si>
  <si>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</si>
  <si>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</si>
  <si>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</si>
  <si>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</si>
  <si>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</si>
  <si>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</si>
  <si>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</si>
  <si>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</si>
  <si>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</si>
  <si>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</si>
  <si>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</si>
  <si>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</si>
  <si>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</si>
  <si>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</si>
  <si>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</si>
  <si>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</si>
  <si>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</si>
  <si>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</si>
  <si>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</si>
  <si>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</si>
  <si>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</si>
  <si>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</si>
  <si>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</si>
  <si>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</si>
  <si>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</si>
  <si>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</si>
  <si>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</si>
  <si>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</si>
  <si>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</si>
  <si>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</si>
  <si>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</si>
  <si>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</si>
  <si>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</si>
  <si>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</si>
  <si>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</si>
  <si>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</si>
  <si>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</si>
  <si>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</si>
  <si>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</si>
  <si>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</si>
  <si>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</si>
  <si>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</si>
  <si>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</si>
  <si>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</si>
  <si>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</si>
  <si>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</si>
  <si>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</si>
  <si>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</si>
  <si>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</si>
  <si>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</si>
  <si>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</si>
  <si>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</si>
  <si>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</si>
  <si>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</si>
  <si>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</si>
  <si>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</si>
  <si>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</si>
  <si>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</si>
  <si>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</si>
  <si>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</si>
  <si>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</si>
  <si>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</si>
  <si>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</si>
  <si>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</si>
  <si>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</si>
  <si>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Williams Trace Blvd Reconstruction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</si>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</sst>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5">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0" fillId="2" borderId="1" xfId="0" applyFill="1" applyBorder="1" applyAlignment="1" applyProtection="1">
      <alignment horizontal="left" wrapText="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2" t="s">
        <v>29</v>
      </c>
      <c r="E6" s="123"/>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2" t="s">
        <v>29</v>
      </c>
      <c r="E6" s="123"/>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2" t="s">
        <v>30</v>
      </c>
      <c r="E8" s="123"/>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I40"/>
  <sheetViews>
    <sheetView tabSelected="1" topLeftCell="A10" zoomScaleNormal="100" workbookViewId="0">
      <selection activeCell="B19" sqref="B19"/>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ht="45" x14ac:dyDescent="0.25">
      <c r="A6" s="6" t="s">
        <v>8</v>
      </c>
      <c r="B6" s="121" t="s">
        <v>129</v>
      </c>
      <c r="D6" s="6"/>
      <c r="E6" s="99" t="s">
        <v>91</v>
      </c>
    </row>
    <row r="7" spans="1:5" x14ac:dyDescent="0.25">
      <c r="A7" s="6" t="s">
        <v>51</v>
      </c>
      <c r="B7" s="6">
        <v>220</v>
      </c>
      <c r="D7" s="98"/>
      <c r="E7" s="99" t="s">
        <v>127</v>
      </c>
    </row>
    <row r="8" spans="1:5" x14ac:dyDescent="0.25">
      <c r="A8" s="6" t="s">
        <v>52</v>
      </c>
      <c r="B8" s="6" t="s">
        <v>130</v>
      </c>
      <c r="D8" s="103"/>
      <c r="E8" s="99" t="s">
        <v>92</v>
      </c>
    </row>
    <row r="9" spans="1:5" x14ac:dyDescent="0.25">
      <c r="A9" s="6" t="s">
        <v>64</v>
      </c>
      <c r="B9" s="104" t="s">
        <v>69</v>
      </c>
      <c r="D9" s="105"/>
      <c r="E9" s="99" t="s">
        <v>93</v>
      </c>
    </row>
    <row r="11" spans="1:5" x14ac:dyDescent="0.25">
      <c r="A11" s="63"/>
      <c r="B11" s="63"/>
    </row>
    <row r="12" spans="1:5" x14ac:dyDescent="0.25">
      <c r="A12" s="102" t="s">
        <v>85</v>
      </c>
      <c r="B12" s="63"/>
    </row>
    <row r="13" spans="1:5" x14ac:dyDescent="0.25">
      <c r="A13" s="6" t="s">
        <v>56</v>
      </c>
      <c r="B13" s="45">
        <v>2023</v>
      </c>
    </row>
    <row r="14" spans="1:5" x14ac:dyDescent="0.25">
      <c r="A14" s="6" t="s">
        <v>86</v>
      </c>
      <c r="B14" s="6" t="s">
        <v>121</v>
      </c>
    </row>
    <row r="15" spans="1:5" x14ac:dyDescent="0.25">
      <c r="A15" s="106" t="s">
        <v>87</v>
      </c>
      <c r="B15" s="57" t="s">
        <v>76</v>
      </c>
    </row>
    <row r="16" spans="1:5" x14ac:dyDescent="0.25">
      <c r="A16" s="106" t="s">
        <v>88</v>
      </c>
      <c r="B16" s="57">
        <v>0.7</v>
      </c>
    </row>
    <row r="17" spans="1:3" x14ac:dyDescent="0.25">
      <c r="A17" s="107" t="s">
        <v>95</v>
      </c>
      <c r="B17" s="57">
        <v>17</v>
      </c>
    </row>
    <row r="18" spans="1:3" x14ac:dyDescent="0.25">
      <c r="A18" s="107" t="s">
        <v>96</v>
      </c>
      <c r="B18" s="57">
        <v>20</v>
      </c>
    </row>
    <row r="19" spans="1:3" x14ac:dyDescent="0.25">
      <c r="A19" s="96" t="s">
        <v>97</v>
      </c>
      <c r="B19" s="97">
        <f>VLOOKUP(B14,'Service Life'!C6:D8,2,FALSE)</f>
        <v>20</v>
      </c>
    </row>
    <row r="21" spans="1:3" x14ac:dyDescent="0.25">
      <c r="A21" s="102" t="s">
        <v>89</v>
      </c>
    </row>
    <row r="22" spans="1:3" ht="20.25" customHeight="1" x14ac:dyDescent="0.25">
      <c r="A22" s="107" t="s">
        <v>90</v>
      </c>
      <c r="B22" s="119">
        <v>43347</v>
      </c>
    </row>
    <row r="23" spans="1:3" ht="30" x14ac:dyDescent="0.25">
      <c r="A23" s="118" t="s">
        <v>101</v>
      </c>
      <c r="B23" s="120">
        <v>44460</v>
      </c>
    </row>
    <row r="24" spans="1:3" ht="30" x14ac:dyDescent="0.25">
      <c r="A24" s="118" t="s">
        <v>102</v>
      </c>
      <c r="B24" s="120">
        <v>48208</v>
      </c>
    </row>
    <row r="27" spans="1:3" ht="18.75" x14ac:dyDescent="0.3">
      <c r="A27" s="100" t="s">
        <v>55</v>
      </c>
      <c r="B27" s="101"/>
    </row>
    <row r="29" spans="1:3" x14ac:dyDescent="0.25">
      <c r="A29" s="108" t="s">
        <v>53</v>
      </c>
    </row>
    <row r="30" spans="1:3" x14ac:dyDescent="0.25">
      <c r="A30" s="105" t="s">
        <v>112</v>
      </c>
      <c r="B30" s="114">
        <f>'Benefit Calculations'!M37</f>
        <v>2383.2182122069944</v>
      </c>
    </row>
    <row r="31" spans="1:3" x14ac:dyDescent="0.25">
      <c r="A31" s="105" t="s">
        <v>113</v>
      </c>
      <c r="B31" s="114">
        <f>'Benefit Calculations'!Q37</f>
        <v>313.87365180116882</v>
      </c>
      <c r="C31" s="109"/>
    </row>
    <row r="32" spans="1:3" x14ac:dyDescent="0.25">
      <c r="A32" s="110"/>
      <c r="B32" s="111"/>
      <c r="C32" s="109"/>
    </row>
    <row r="33" spans="1:9" x14ac:dyDescent="0.25">
      <c r="A33" s="108" t="s">
        <v>94</v>
      </c>
      <c r="B33" s="111"/>
      <c r="C33" s="109"/>
    </row>
    <row r="34" spans="1:9" x14ac:dyDescent="0.25">
      <c r="A34" s="105" t="s">
        <v>114</v>
      </c>
      <c r="B34" s="114">
        <f>$B$30+$B$31</f>
        <v>2697.0918640081632</v>
      </c>
      <c r="C34" s="109"/>
    </row>
    <row r="35" spans="1:9" x14ac:dyDescent="0.25">
      <c r="I35" s="112"/>
    </row>
    <row r="36" spans="1:9" x14ac:dyDescent="0.25">
      <c r="A36" s="108" t="s">
        <v>107</v>
      </c>
    </row>
    <row r="37" spans="1:9" x14ac:dyDescent="0.25">
      <c r="A37" s="105" t="s">
        <v>116</v>
      </c>
      <c r="B37" s="115">
        <f>'Benefit Calculations'!K37</f>
        <v>0.79111305657194775</v>
      </c>
    </row>
    <row r="38" spans="1:9" x14ac:dyDescent="0.25">
      <c r="A38" s="105" t="s">
        <v>117</v>
      </c>
      <c r="B38" s="115">
        <f>'Benefit Calculations'!O37</f>
        <v>0.41063776487579406</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'Emission Factors - VOC'!$C$2:$J$2</xm:f>
          </x14:formula1>
          <xm:sqref>B9</xm:sqref>
        </x14:dataValidation>
        <x14:dataValidation type="list" operator="lessThanOrEqual" allowBlank="1" showInputMessage="1" showErrorMessage="1" error="Volume Must Be Less Than Stated Capacity">
          <x14:formula1>
            <xm:f>'Emission Factors - NOx'!$L$4:$L$6</xm:f>
          </x14:formula1>
          <xm:sqref>B15</xm:sqref>
        </x14:dataValidation>
        <x14:dataValidation type="list" allowBlank="1" showInputMessage="1" showErrorMessage="1">
          <x14:formula1>
            <xm:f>'Service Life'!$C$6:$C$8</xm:f>
          </x14:formula1>
          <xm:sqref>B14</xm:sqref>
        </x14:dataValidation>
        <x14:dataValidation type="list" allowBlank="1" showInputMessage="1" showErrorMessage="1">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7.5058497488500006E-2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2.0580399781499999E-2</v>
      </c>
      <c r="F4" s="70">
        <v>2018</v>
      </c>
      <c r="G4" s="80">
        <f>'Inputs &amp; Outputs'!B22</f>
        <v>43347</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7.0730701088899894E-2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1.8333999440099901E-2</v>
      </c>
      <c r="F5" s="70">
        <f t="shared" ref="F5:F36" si="2">F4+1</f>
        <v>2019</v>
      </c>
      <c r="G5" s="80">
        <f>G4+G4*H5</f>
        <v>43504.277639577813</v>
      </c>
      <c r="H5" s="79">
        <f>$C$9</f>
        <v>3.6283396677465607E-3</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43662.12593585415</v>
      </c>
      <c r="H6" s="79">
        <f t="shared" ref="H6:H11" si="7">$C$9</f>
        <v>3.6283396677465607E-3</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43820.546959365354</v>
      </c>
      <c r="H7" s="79">
        <f t="shared" si="7"/>
        <v>3.6283396677465607E-3</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43979.542788160368</v>
      </c>
      <c r="H8" s="79">
        <f t="shared" si="7"/>
        <v>3.6283396677465607E-3</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3.6283396677465607E-3</v>
      </c>
      <c r="F9" s="70">
        <f t="shared" si="2"/>
        <v>2023</v>
      </c>
      <c r="G9" s="80">
        <f t="shared" si="6"/>
        <v>44139.115507828006</v>
      </c>
      <c r="H9" s="79">
        <f t="shared" si="7"/>
        <v>3.6283396677465607E-3</v>
      </c>
      <c r="I9" s="70">
        <f>IF(AND(F9&gt;='Inputs &amp; Outputs'!B$13,F9&lt;'Inputs &amp; Outputs'!B$13+'Inputs &amp; Outputs'!B$19),1,0)</f>
        <v>1</v>
      </c>
      <c r="J9" s="71">
        <f>I9*'Inputs &amp; Outputs'!B$16*'Benefit Calculations'!G9*('Benefit Calculations'!C$4-'Benefit Calculations'!C$5)</f>
        <v>133.71757362341805</v>
      </c>
      <c r="K9" s="89">
        <f t="shared" si="3"/>
        <v>3.8323613668328246E-2</v>
      </c>
      <c r="L9" s="72">
        <f>K9*'Assumed Values'!$C$8</f>
        <v>287.73369142180849</v>
      </c>
      <c r="M9" s="73">
        <f t="shared" si="0"/>
        <v>205.15014535556799</v>
      </c>
      <c r="N9" s="88">
        <f>I9*'Inputs &amp; Outputs'!B$16*'Benefit Calculations'!G9*('Benefit Calculations'!D$4-'Benefit Calculations'!D$5)</f>
        <v>69.407886902118236</v>
      </c>
      <c r="O9" s="89">
        <f t="shared" si="4"/>
        <v>1.9892381914309271E-2</v>
      </c>
      <c r="P9" s="72">
        <f>ABS(O9*'Assumed Values'!$C$7)</f>
        <v>37.894987546759161</v>
      </c>
      <c r="Q9" s="73">
        <f t="shared" si="1"/>
        <v>27.018602392545006</v>
      </c>
      <c r="T9" s="85">
        <f t="shared" si="5"/>
        <v>3.4766569142088692E-2</v>
      </c>
      <c r="U9" s="86">
        <f>T9*'Assumed Values'!$D$8</f>
        <v>0</v>
      </c>
    </row>
    <row r="10" spans="2:21" x14ac:dyDescent="0.25">
      <c r="B10" s="16" t="s">
        <v>105</v>
      </c>
      <c r="C10" s="67">
        <f>('Inputs &amp; Outputs'!B24/'Inputs &amp; Outputs'!B23)^(1/(2045-2020))-1</f>
        <v>3.2426490026828958E-3</v>
      </c>
      <c r="F10" s="70">
        <f t="shared" si="2"/>
        <v>2024</v>
      </c>
      <c r="G10" s="80">
        <f t="shared" si="6"/>
        <v>44299.267211524304</v>
      </c>
      <c r="H10" s="79">
        <f t="shared" si="7"/>
        <v>3.6283396677465607E-3</v>
      </c>
      <c r="I10" s="70">
        <f>IF(AND(F10&gt;='Inputs &amp; Outputs'!B$13,F10&lt;'Inputs &amp; Outputs'!B$13+'Inputs &amp; Outputs'!B$19),1,0)</f>
        <v>1</v>
      </c>
      <c r="J10" s="71">
        <f>I10*'Inputs &amp; Outputs'!B$16*'Benefit Calculations'!G10*('Benefit Calculations'!C$4-'Benefit Calculations'!C$5)</f>
        <v>134.20274640007071</v>
      </c>
      <c r="K10" s="89">
        <f t="shared" si="3"/>
        <v>3.8462664756012434E-2</v>
      </c>
      <c r="L10" s="72">
        <f>K10*'Assumed Values'!$C$8</f>
        <v>288.77768698814134</v>
      </c>
      <c r="M10" s="73">
        <f t="shared" si="0"/>
        <v>192.42476613626687</v>
      </c>
      <c r="N10" s="88">
        <f>I10*'Inputs &amp; Outputs'!B$16*'Benefit Calculations'!G10*('Benefit Calculations'!D$4-'Benefit Calculations'!D$5)</f>
        <v>69.659722291419655</v>
      </c>
      <c r="O10" s="89">
        <f t="shared" si="4"/>
        <v>1.9964558232694919E-2</v>
      </c>
      <c r="P10" s="72">
        <f>ABS(O10*'Assumed Values'!$C$7)</f>
        <v>38.032483433283822</v>
      </c>
      <c r="Q10" s="73">
        <f t="shared" si="1"/>
        <v>25.342649588199013</v>
      </c>
      <c r="T10" s="85">
        <f t="shared" si="5"/>
        <v>3.4892714064018386E-2</v>
      </c>
      <c r="U10" s="86">
        <f>T10*'Assumed Values'!$D$8</f>
        <v>0</v>
      </c>
    </row>
    <row r="11" spans="2:21" x14ac:dyDescent="0.25">
      <c r="B11" s="16" t="s">
        <v>106</v>
      </c>
      <c r="C11" s="67">
        <f>('Inputs &amp; Outputs'!B24/'Inputs &amp; Outputs'!B22)^(1/(2045-2018))-1</f>
        <v>3.9443320276630889E-3</v>
      </c>
      <c r="F11" s="70">
        <f t="shared" si="2"/>
        <v>2025</v>
      </c>
      <c r="G11" s="80">
        <f>'Inputs &amp; Outputs'!$B$23</f>
        <v>44460</v>
      </c>
      <c r="H11" s="79">
        <f t="shared" si="7"/>
        <v>3.6283396677465607E-3</v>
      </c>
      <c r="I11" s="70">
        <f>IF(AND(F11&gt;='Inputs &amp; Outputs'!B$13,F11&lt;'Inputs &amp; Outputs'!B$13+'Inputs &amp; Outputs'!B$19),1,0)</f>
        <v>1</v>
      </c>
      <c r="J11" s="71">
        <f>I11*'Inputs &amp; Outputs'!B$16*'Benefit Calculations'!G11*('Benefit Calculations'!C$4-'Benefit Calculations'!C$5)</f>
        <v>134.68967954835466</v>
      </c>
      <c r="K11" s="89">
        <f t="shared" si="3"/>
        <v>3.8602220368273925E-2</v>
      </c>
      <c r="L11" s="72">
        <f>K11*'Assumed Values'!$C$8</f>
        <v>289.82547052500064</v>
      </c>
      <c r="M11" s="73">
        <f t="shared" si="0"/>
        <v>180.48873696102433</v>
      </c>
      <c r="N11" s="88">
        <f>I11*'Inputs &amp; Outputs'!B$16*'Benefit Calculations'!G11*('Benefit Calculations'!D$4-'Benefit Calculations'!D$5)</f>
        <v>69.912471425053852</v>
      </c>
      <c r="O11" s="89">
        <f t="shared" si="4"/>
        <v>2.0036996431279652E-2</v>
      </c>
      <c r="P11" s="72">
        <f>ABS(O11*'Assumed Values'!$C$7)</f>
        <v>38.170478201587734</v>
      </c>
      <c r="Q11" s="73">
        <f t="shared" si="1"/>
        <v>23.770655447650174</v>
      </c>
      <c r="T11" s="85">
        <f t="shared" si="5"/>
        <v>3.5019316682572216E-2</v>
      </c>
      <c r="U11" s="86">
        <f>T11*'Assumed Values'!$D$8</f>
        <v>0</v>
      </c>
    </row>
    <row r="12" spans="2:21" x14ac:dyDescent="0.25">
      <c r="B12" s="27"/>
      <c r="C12" s="68"/>
      <c r="F12" s="70">
        <f t="shared" si="2"/>
        <v>2026</v>
      </c>
      <c r="G12" s="80">
        <f t="shared" si="6"/>
        <v>44604.16817465928</v>
      </c>
      <c r="H12" s="79">
        <f>$C$10</f>
        <v>3.2426490026828958E-3</v>
      </c>
      <c r="I12" s="70">
        <f>IF(AND(F12&gt;='Inputs &amp; Outputs'!B$13,F12&lt;'Inputs &amp; Outputs'!B$13+'Inputs &amp; Outputs'!B$19),1,0)</f>
        <v>1</v>
      </c>
      <c r="J12" s="71">
        <f>I12*'Inputs &amp; Outputs'!B$16*'Benefit Calculations'!G12*('Benefit Calculations'!C$4-'Benefit Calculations'!C$5)</f>
        <v>135.12643090341382</v>
      </c>
      <c r="K12" s="89">
        <f t="shared" si="3"/>
        <v>3.8727393819652456E-2</v>
      </c>
      <c r="L12" s="72">
        <f>K12*'Assumed Values'!$C$8</f>
        <v>290.76527279795062</v>
      </c>
      <c r="M12" s="73">
        <f t="shared" si="0"/>
        <v>169.22803605974437</v>
      </c>
      <c r="N12" s="88">
        <f>I12*'Inputs &amp; Outputs'!B$16*'Benefit Calculations'!G12*('Benefit Calculations'!D$4-'Benefit Calculations'!D$5)</f>
        <v>70.139173030795391</v>
      </c>
      <c r="O12" s="89">
        <f t="shared" si="4"/>
        <v>2.0101969377774299E-2</v>
      </c>
      <c r="P12" s="72">
        <f>ABS(O12*'Assumed Values'!$C$7)</f>
        <v>38.294251664660038</v>
      </c>
      <c r="Q12" s="73">
        <f t="shared" si="1"/>
        <v>22.287603121337021</v>
      </c>
      <c r="T12" s="85">
        <f t="shared" si="5"/>
        <v>3.5132872034887595E-2</v>
      </c>
      <c r="U12" s="86">
        <f>T12*'Assumed Values'!$D$8</f>
        <v>0</v>
      </c>
    </row>
    <row r="13" spans="2:21" x14ac:dyDescent="0.25">
      <c r="B13" s="27"/>
      <c r="C13" s="68"/>
      <c r="F13" s="70">
        <f t="shared" si="2"/>
        <v>2027</v>
      </c>
      <c r="G13" s="80">
        <f t="shared" si="6"/>
        <v>44748.803836106337</v>
      </c>
      <c r="H13" s="79">
        <f t="shared" ref="H13:H36" si="8">$C$10</f>
        <v>3.2426490026828958E-3</v>
      </c>
      <c r="I13" s="70">
        <f>IF(AND(F13&gt;='Inputs &amp; Outputs'!B$13,F13&lt;'Inputs &amp; Outputs'!B$13+'Inputs &amp; Outputs'!B$19),1,0)</f>
        <v>1</v>
      </c>
      <c r="J13" s="71">
        <f>I13*'Inputs &amp; Outputs'!B$16*'Benefit Calculations'!G13*('Benefit Calculations'!C$4-'Benefit Calculations'!C$5)</f>
        <v>135.56459848981888</v>
      </c>
      <c r="K13" s="89">
        <f t="shared" si="3"/>
        <v>3.8852973164598258E-2</v>
      </c>
      <c r="L13" s="72">
        <f>K13*'Assumed Values'!$C$8</f>
        <v>291.70812251980374</v>
      </c>
      <c r="M13" s="73">
        <f t="shared" si="0"/>
        <v>158.66989082439204</v>
      </c>
      <c r="N13" s="88">
        <f>I13*'Inputs &amp; Outputs'!B$16*'Benefit Calculations'!G13*('Benefit Calculations'!D$4-'Benefit Calculations'!D$5)</f>
        <v>70.366609750272701</v>
      </c>
      <c r="O13" s="89">
        <f t="shared" si="4"/>
        <v>2.0167153008729101E-2</v>
      </c>
      <c r="P13" s="72">
        <f>ABS(O13*'Assumed Values'!$C$7)</f>
        <v>38.418426481628934</v>
      </c>
      <c r="Q13" s="73">
        <f t="shared" si="1"/>
        <v>20.897078500346367</v>
      </c>
      <c r="T13" s="85">
        <f t="shared" si="5"/>
        <v>3.5246795607352908E-2</v>
      </c>
      <c r="U13" s="86">
        <f>T13*'Assumed Values'!$D$8</f>
        <v>0</v>
      </c>
    </row>
    <row r="14" spans="2:21" x14ac:dyDescent="0.25">
      <c r="B14" s="27"/>
      <c r="C14" s="68"/>
      <c r="F14" s="70">
        <f t="shared" si="2"/>
        <v>2028</v>
      </c>
      <c r="G14" s="80">
        <f t="shared" si="6"/>
        <v>44893.908500236743</v>
      </c>
      <c r="H14" s="79">
        <f t="shared" si="8"/>
        <v>3.2426490026828958E-3</v>
      </c>
      <c r="I14" s="70">
        <f>IF(AND(F14&gt;='Inputs &amp; Outputs'!B$13,F14&lt;'Inputs &amp; Outputs'!B$13+'Inputs &amp; Outputs'!B$19),1,0)</f>
        <v>1</v>
      </c>
      <c r="J14" s="71">
        <f>I14*'Inputs &amp; Outputs'!B$16*'Benefit Calculations'!G14*('Benefit Calculations'!C$4-'Benefit Calculations'!C$5)</f>
        <v>136.00418689991099</v>
      </c>
      <c r="K14" s="89">
        <f t="shared" si="3"/>
        <v>3.8978959719281704E-2</v>
      </c>
      <c r="L14" s="72">
        <f>K14*'Assumed Values'!$C$8</f>
        <v>292.65402957236705</v>
      </c>
      <c r="M14" s="73">
        <f t="shared" si="0"/>
        <v>148.77046877348556</v>
      </c>
      <c r="N14" s="88">
        <f>I14*'Inputs &amp; Outputs'!B$16*'Benefit Calculations'!G14*('Benefit Calculations'!D$4-'Benefit Calculations'!D$5)</f>
        <v>70.594783967201607</v>
      </c>
      <c r="O14" s="89">
        <f t="shared" si="4"/>
        <v>2.0232548007319814E-2</v>
      </c>
      <c r="P14" s="72">
        <f>ABS(O14*'Assumed Values'!$C$7)</f>
        <v>38.543003953944243</v>
      </c>
      <c r="Q14" s="73">
        <f t="shared" si="1"/>
        <v>19.593308776733185</v>
      </c>
      <c r="T14" s="85">
        <f t="shared" si="5"/>
        <v>3.5361088593976853E-2</v>
      </c>
      <c r="U14" s="86">
        <f>T14*'Assumed Values'!$D$8</f>
        <v>0</v>
      </c>
    </row>
    <row r="15" spans="2:21" x14ac:dyDescent="0.25">
      <c r="B15" s="27"/>
      <c r="C15" s="69"/>
      <c r="F15" s="70">
        <f t="shared" si="2"/>
        <v>2029</v>
      </c>
      <c r="G15" s="80">
        <f t="shared" si="6"/>
        <v>45039.483687861575</v>
      </c>
      <c r="H15" s="79">
        <f t="shared" si="8"/>
        <v>3.2426490026828958E-3</v>
      </c>
      <c r="I15" s="70">
        <f>IF(AND(F15&gt;='Inputs &amp; Outputs'!B$13,F15&lt;'Inputs &amp; Outputs'!B$13+'Inputs &amp; Outputs'!B$19),1,0)</f>
        <v>1</v>
      </c>
      <c r="J15" s="71">
        <f>I15*'Inputs &amp; Outputs'!B$16*'Benefit Calculations'!G15*('Benefit Calculations'!C$4-'Benefit Calculations'!C$5)</f>
        <v>136.44520074092267</v>
      </c>
      <c r="K15" s="89">
        <f t="shared" si="3"/>
        <v>3.9105354804141047E-2</v>
      </c>
      <c r="L15" s="72">
        <f>K15*'Assumed Values'!$C$8</f>
        <v>293.60300386949098</v>
      </c>
      <c r="M15" s="73">
        <f t="shared" si="0"/>
        <v>139.48867213615191</v>
      </c>
      <c r="N15" s="88">
        <f>I15*'Inputs &amp; Outputs'!B$16*'Benefit Calculations'!G15*('Benefit Calculations'!D$4-'Benefit Calculations'!D$5)</f>
        <v>70.823698073027472</v>
      </c>
      <c r="O15" s="89">
        <f t="shared" si="4"/>
        <v>2.0298155058937482E-2</v>
      </c>
      <c r="P15" s="72">
        <f>ABS(O15*'Assumed Values'!$C$7)</f>
        <v>38.667985387275905</v>
      </c>
      <c r="Q15" s="73">
        <f t="shared" si="1"/>
        <v>18.370881308315248</v>
      </c>
      <c r="T15" s="85">
        <f t="shared" si="5"/>
        <v>3.5475752192639889E-2</v>
      </c>
      <c r="U15" s="86">
        <f>T15*'Assumed Values'!$D$8</f>
        <v>0</v>
      </c>
    </row>
    <row r="16" spans="2:21" x14ac:dyDescent="0.25">
      <c r="B16" s="27"/>
      <c r="C16" s="69"/>
      <c r="F16" s="70">
        <f t="shared" si="2"/>
        <v>2030</v>
      </c>
      <c r="G16" s="80">
        <f t="shared" si="6"/>
        <v>45185.530924723374</v>
      </c>
      <c r="H16" s="79">
        <f t="shared" si="8"/>
        <v>3.2426490026828958E-3</v>
      </c>
      <c r="I16" s="70">
        <f>IF(AND(F16&gt;='Inputs &amp; Outputs'!B$13,F16&lt;'Inputs &amp; Outputs'!B$13+'Inputs &amp; Outputs'!B$19),1,0)</f>
        <v>1</v>
      </c>
      <c r="J16" s="71">
        <f>I16*'Inputs &amp; Outputs'!B$16*'Benefit Calculations'!G16*('Benefit Calculations'!C$4-'Benefit Calculations'!C$5)</f>
        <v>136.88764463502613</v>
      </c>
      <c r="K16" s="89">
        <f t="shared" si="3"/>
        <v>3.9232159743896274E-2</v>
      </c>
      <c r="L16" s="72">
        <f>K16*'Assumed Values'!$C$8</f>
        <v>294.55505535717322</v>
      </c>
      <c r="M16" s="73">
        <f t="shared" si="0"/>
        <v>130.78596723340172</v>
      </c>
      <c r="N16" s="88">
        <f>I16*'Inputs &amp; Outputs'!B$16*'Benefit Calculations'!G16*('Benefit Calculations'!D$4-'Benefit Calculations'!D$5)</f>
        <v>71.053354466950296</v>
      </c>
      <c r="O16" s="89">
        <f t="shared" si="4"/>
        <v>2.0363974851195652E-2</v>
      </c>
      <c r="P16" s="72">
        <f>ABS(O16*'Assumed Values'!$C$7)</f>
        <v>38.793372091527715</v>
      </c>
      <c r="Q16" s="73">
        <f t="shared" si="1"/>
        <v>17.224721147914082</v>
      </c>
      <c r="T16" s="85">
        <f t="shared" si="5"/>
        <v>3.5590787605106797E-2</v>
      </c>
      <c r="U16" s="86">
        <f>T16*'Assumed Values'!$D$8</f>
        <v>0</v>
      </c>
    </row>
    <row r="17" spans="2:21" x14ac:dyDescent="0.25">
      <c r="B17" s="27"/>
      <c r="C17" s="69"/>
      <c r="F17" s="70">
        <f t="shared" si="2"/>
        <v>2031</v>
      </c>
      <c r="G17" s="80">
        <f t="shared" si="6"/>
        <v>45332.051741512129</v>
      </c>
      <c r="H17" s="79">
        <f t="shared" si="8"/>
        <v>3.2426490026828958E-3</v>
      </c>
      <c r="I17" s="70">
        <f>IF(AND(F17&gt;='Inputs &amp; Outputs'!B$13,F17&lt;'Inputs &amp; Outputs'!B$13+'Inputs &amp; Outputs'!B$19),1,0)</f>
        <v>1</v>
      </c>
      <c r="J17" s="71">
        <f>I17*'Inputs &amp; Outputs'!B$16*'Benefit Calculations'!G17*('Benefit Calculations'!C$4-'Benefit Calculations'!C$5)</f>
        <v>137.33152321938149</v>
      </c>
      <c r="K17" s="89">
        <f t="shared" si="3"/>
        <v>3.9359375867562905E-2</v>
      </c>
      <c r="L17" s="72">
        <f>K17*'Assumed Values'!$C$8</f>
        <v>295.51019401366227</v>
      </c>
      <c r="M17" s="73">
        <f t="shared" si="0"/>
        <v>122.626224504314</v>
      </c>
      <c r="N17" s="88">
        <f>I17*'Inputs &amp; Outputs'!B$16*'Benefit Calculations'!G17*('Benefit Calculations'!D$4-'Benefit Calculations'!D$5)</f>
        <v>71.283755555949824</v>
      </c>
      <c r="O17" s="89">
        <f t="shared" si="4"/>
        <v>2.0430008073937543E-2</v>
      </c>
      <c r="P17" s="72">
        <f>ABS(O17*'Assumed Values'!$C$7)</f>
        <v>38.91916538085102</v>
      </c>
      <c r="Q17" s="73">
        <f t="shared" si="1"/>
        <v>16.150069974547531</v>
      </c>
      <c r="T17" s="85">
        <f t="shared" si="5"/>
        <v>3.5706196037039187E-2</v>
      </c>
      <c r="U17" s="86">
        <f>T17*'Assumed Values'!$D$8</f>
        <v>0</v>
      </c>
    </row>
    <row r="18" spans="2:21" x14ac:dyDescent="0.25">
      <c r="F18" s="70">
        <f t="shared" si="2"/>
        <v>2032</v>
      </c>
      <c r="G18" s="80">
        <f t="shared" si="6"/>
        <v>45479.047673881316</v>
      </c>
      <c r="H18" s="79">
        <f t="shared" si="8"/>
        <v>3.2426490026828958E-3</v>
      </c>
      <c r="I18" s="70">
        <f>IF(AND(F18&gt;='Inputs &amp; Outputs'!B$13,F18&lt;'Inputs &amp; Outputs'!B$13+'Inputs &amp; Outputs'!B$19),1,0)</f>
        <v>1</v>
      </c>
      <c r="J18" s="71">
        <f>I18*'Inputs &amp; Outputs'!B$16*'Benefit Calculations'!G18*('Benefit Calculations'!C$4-'Benefit Calculations'!C$5)</f>
        <v>137.77684114618577</v>
      </c>
      <c r="K18" s="89">
        <f t="shared" si="3"/>
        <v>3.9487004508466095E-2</v>
      </c>
      <c r="L18" s="72">
        <f>K18*'Assumed Values'!$C$8</f>
        <v>296.46842984956345</v>
      </c>
      <c r="M18" s="73">
        <f t="shared" si="0"/>
        <v>114.97556851299603</v>
      </c>
      <c r="N18" s="88">
        <f>I18*'Inputs &amp; Outputs'!B$16*'Benefit Calculations'!G18*('Benefit Calculations'!D$4-'Benefit Calculations'!D$5)</f>
        <v>71.514903754810831</v>
      </c>
      <c r="O18" s="89">
        <f t="shared" si="4"/>
        <v>2.0496255419243301E-2</v>
      </c>
      <c r="P18" s="72">
        <f>ABS(O18*'Assumed Values'!$C$7)</f>
        <v>39.045366573658491</v>
      </c>
      <c r="Q18" s="73">
        <f t="shared" si="1"/>
        <v>15.142466339106317</v>
      </c>
      <c r="T18" s="85">
        <f t="shared" si="5"/>
        <v>3.5821978698008301E-2</v>
      </c>
      <c r="U18" s="86">
        <f>T18*'Assumed Values'!$D$8</f>
        <v>0</v>
      </c>
    </row>
    <row r="19" spans="2:21" x14ac:dyDescent="0.25">
      <c r="F19" s="70">
        <f t="shared" si="2"/>
        <v>2033</v>
      </c>
      <c r="G19" s="80">
        <f t="shared" si="6"/>
        <v>45626.520262463993</v>
      </c>
      <c r="H19" s="79">
        <f t="shared" si="8"/>
        <v>3.2426490026828958E-3</v>
      </c>
      <c r="I19" s="70">
        <f>IF(AND(F19&gt;='Inputs &amp; Outputs'!B$13,F19&lt;'Inputs &amp; Outputs'!B$13+'Inputs &amp; Outputs'!B$19),1,0)</f>
        <v>1</v>
      </c>
      <c r="J19" s="71">
        <f>I19*'Inputs &amp; Outputs'!B$16*'Benefit Calculations'!G19*('Benefit Calculations'!C$4-'Benefit Calculations'!C$5)</f>
        <v>138.22360308272124</v>
      </c>
      <c r="K19" s="89">
        <f t="shared" si="3"/>
        <v>3.9615047004254403E-2</v>
      </c>
      <c r="L19" s="72">
        <f>K19*'Assumed Values'!$C$8</f>
        <v>297.42977290794204</v>
      </c>
      <c r="M19" s="73">
        <f t="shared" si="0"/>
        <v>107.80223731361454</v>
      </c>
      <c r="N19" s="88">
        <f>I19*'Inputs &amp; Outputs'!B$16*'Benefit Calculations'!G19*('Benefit Calculations'!D$4-'Benefit Calculations'!D$5)</f>
        <v>71.746801486148328</v>
      </c>
      <c r="O19" s="89">
        <f t="shared" si="4"/>
        <v>2.0562717581437243E-2</v>
      </c>
      <c r="P19" s="72">
        <f>ABS(O19*'Assumed Values'!$C$7)</f>
        <v>39.171976992637951</v>
      </c>
      <c r="Q19" s="73">
        <f t="shared" si="1"/>
        <v>14.197727142503716</v>
      </c>
      <c r="T19" s="85">
        <f t="shared" si="5"/>
        <v>3.5938136801507523E-2</v>
      </c>
      <c r="U19" s="86">
        <f>T19*'Assumed Values'!$D$8</f>
        <v>0</v>
      </c>
    </row>
    <row r="20" spans="2:21" x14ac:dyDescent="0.25">
      <c r="F20" s="70">
        <f t="shared" si="2"/>
        <v>2034</v>
      </c>
      <c r="G20" s="80">
        <f t="shared" si="6"/>
        <v>45774.471052888963</v>
      </c>
      <c r="H20" s="79">
        <f t="shared" si="8"/>
        <v>3.2426490026828958E-3</v>
      </c>
      <c r="I20" s="70">
        <f>IF(AND(F20&gt;='Inputs &amp; Outputs'!B$13,F20&lt;'Inputs &amp; Outputs'!B$13+'Inputs &amp; Outputs'!B$19),1,0)</f>
        <v>1</v>
      </c>
      <c r="J20" s="71">
        <f>I20*'Inputs &amp; Outputs'!B$16*'Benefit Calculations'!G20*('Benefit Calculations'!C$4-'Benefit Calculations'!C$5)</f>
        <v>138.67181371140467</v>
      </c>
      <c r="K20" s="89">
        <f t="shared" si="3"/>
        <v>3.9743504696913984E-2</v>
      </c>
      <c r="L20" s="72">
        <f>K20*'Assumed Values'!$C$8</f>
        <v>298.39423326443017</v>
      </c>
      <c r="M20" s="73">
        <f t="shared" si="0"/>
        <v>101.07645058965096</v>
      </c>
      <c r="N20" s="88">
        <f>I20*'Inputs &amp; Outputs'!B$16*'Benefit Calculations'!G20*('Benefit Calculations'!D$4-'Benefit Calculations'!D$5)</f>
        <v>71.979451180433074</v>
      </c>
      <c r="O20" s="89">
        <f t="shared" si="4"/>
        <v>2.0629395257095142E-2</v>
      </c>
      <c r="P20" s="72">
        <f>ABS(O20*'Assumed Values'!$C$7)</f>
        <v>39.298997964766244</v>
      </c>
      <c r="Q20" s="73">
        <f t="shared" si="1"/>
        <v>13.311930269404412</v>
      </c>
      <c r="T20" s="85">
        <f t="shared" si="5"/>
        <v>3.605467156496521E-2</v>
      </c>
      <c r="U20" s="86">
        <f>T20*'Assumed Values'!$D$8</f>
        <v>0</v>
      </c>
    </row>
    <row r="21" spans="2:21" x14ac:dyDescent="0.25">
      <c r="F21" s="70">
        <f t="shared" si="2"/>
        <v>2035</v>
      </c>
      <c r="G21" s="80">
        <f t="shared" si="6"/>
        <v>45922.901595796953</v>
      </c>
      <c r="H21" s="79">
        <f t="shared" si="8"/>
        <v>3.2426490026828958E-3</v>
      </c>
      <c r="I21" s="70">
        <f>IF(AND(F21&gt;='Inputs &amp; Outputs'!B$13,F21&lt;'Inputs &amp; Outputs'!B$13+'Inputs &amp; Outputs'!B$19),1,0)</f>
        <v>1</v>
      </c>
      <c r="J21" s="71">
        <f>I21*'Inputs &amp; Outputs'!B$16*'Benefit Calculations'!G21*('Benefit Calculations'!C$4-'Benefit Calculations'!C$5)</f>
        <v>139.12147772983619</v>
      </c>
      <c r="K21" s="89">
        <f t="shared" si="3"/>
        <v>3.9872378932782553E-2</v>
      </c>
      <c r="L21" s="72">
        <f>K21*'Assumed Values'!$C$8</f>
        <v>299.36182102733142</v>
      </c>
      <c r="M21" s="73">
        <f t="shared" si="0"/>
        <v>94.770286019953474</v>
      </c>
      <c r="N21" s="88">
        <f>I21*'Inputs &amp; Outputs'!B$16*'Benefit Calculations'!G21*('Benefit Calculations'!D$4-'Benefit Calculations'!D$5)</f>
        <v>72.212855276016967</v>
      </c>
      <c r="O21" s="89">
        <f t="shared" si="4"/>
        <v>2.0696289145051512E-2</v>
      </c>
      <c r="P21" s="72">
        <f>ABS(O21*'Assumed Values'!$C$7)</f>
        <v>39.42643082132313</v>
      </c>
      <c r="Q21" s="73">
        <f t="shared" si="1"/>
        <v>12.481398305435777</v>
      </c>
      <c r="T21" s="85">
        <f t="shared" si="5"/>
        <v>3.6171584209757406E-2</v>
      </c>
      <c r="U21" s="86">
        <f>T21*'Assumed Values'!$D$8</f>
        <v>0</v>
      </c>
    </row>
    <row r="22" spans="2:21" x14ac:dyDescent="0.25">
      <c r="F22" s="70">
        <f t="shared" si="2"/>
        <v>2036</v>
      </c>
      <c r="G22" s="80">
        <f t="shared" si="6"/>
        <v>46071.813446856868</v>
      </c>
      <c r="H22" s="79">
        <f t="shared" si="8"/>
        <v>3.2426490026828958E-3</v>
      </c>
      <c r="I22" s="70">
        <f>IF(AND(F22&gt;='Inputs &amp; Outputs'!B$13,F22&lt;'Inputs &amp; Outputs'!B$13+'Inputs &amp; Outputs'!B$19),1,0)</f>
        <v>1</v>
      </c>
      <c r="J22" s="71">
        <f>I22*'Inputs &amp; Outputs'!B$16*'Benefit Calculations'!G22*('Benefit Calculations'!C$4-'Benefit Calculations'!C$5)</f>
        <v>139.5725998508486</v>
      </c>
      <c r="K22" s="89">
        <f t="shared" si="3"/>
        <v>4.0001671062563533E-2</v>
      </c>
      <c r="L22" s="72">
        <f>K22*'Assumed Values'!$C$8</f>
        <v>300.33254633772702</v>
      </c>
      <c r="M22" s="73">
        <f t="shared" si="0"/>
        <v>88.857563358317805</v>
      </c>
      <c r="N22" s="88">
        <f>I22*'Inputs &amp; Outputs'!B$16*'Benefit Calculations'!G22*('Benefit Calculations'!D$4-'Benefit Calculations'!D$5)</f>
        <v>72.447016219158627</v>
      </c>
      <c r="O22" s="89">
        <f t="shared" si="4"/>
        <v>2.0763399946406951E-2</v>
      </c>
      <c r="P22" s="72">
        <f>ABS(O22*'Assumed Values'!$C$7)</f>
        <v>39.55427689790524</v>
      </c>
      <c r="Q22" s="73">
        <f t="shared" si="1"/>
        <v>11.702683270283163</v>
      </c>
      <c r="T22" s="85">
        <f t="shared" si="5"/>
        <v>3.6288875961220636E-2</v>
      </c>
      <c r="U22" s="86">
        <f>T22*'Assumed Values'!$D$8</f>
        <v>0</v>
      </c>
    </row>
    <row r="23" spans="2:21" x14ac:dyDescent="0.25">
      <c r="F23" s="70">
        <f t="shared" si="2"/>
        <v>2037</v>
      </c>
      <c r="G23" s="80">
        <f t="shared" si="6"/>
        <v>46221.208166782111</v>
      </c>
      <c r="H23" s="79">
        <f t="shared" si="8"/>
        <v>3.2426490026828958E-3</v>
      </c>
      <c r="I23" s="70">
        <f>IF(AND(F23&gt;='Inputs &amp; Outputs'!B$13,F23&lt;'Inputs &amp; Outputs'!B$13+'Inputs &amp; Outputs'!B$19),1,0)</f>
        <v>1</v>
      </c>
      <c r="J23" s="71">
        <f>I23*'Inputs &amp; Outputs'!B$16*'Benefit Calculations'!G23*('Benefit Calculations'!C$4-'Benefit Calculations'!C$5)</f>
        <v>140.02518480255682</v>
      </c>
      <c r="K23" s="89">
        <f t="shared" si="3"/>
        <v>4.0131382441340201E-2</v>
      </c>
      <c r="L23" s="72">
        <f>K23*'Assumed Values'!$C$8</f>
        <v>301.30641936958222</v>
      </c>
      <c r="M23" s="73">
        <f t="shared" si="0"/>
        <v>83.313735745348097</v>
      </c>
      <c r="N23" s="88">
        <f>I23*'Inputs &amp; Outputs'!B$16*'Benefit Calculations'!G23*('Benefit Calculations'!D$4-'Benefit Calculations'!D$5)</f>
        <v>72.681936464049045</v>
      </c>
      <c r="O23" s="89">
        <f t="shared" si="4"/>
        <v>2.0830728364535478E-2</v>
      </c>
      <c r="P23" s="72">
        <f>ABS(O23*'Assumed Values'!$C$7)</f>
        <v>39.682537534440087</v>
      </c>
      <c r="Q23" s="73">
        <f t="shared" si="1"/>
        <v>10.972552303288097</v>
      </c>
      <c r="T23" s="85">
        <f t="shared" si="5"/>
        <v>3.6406548048664771E-2</v>
      </c>
      <c r="U23" s="86">
        <f>T23*'Assumed Values'!$D$8</f>
        <v>0</v>
      </c>
    </row>
    <row r="24" spans="2:21" x14ac:dyDescent="0.25">
      <c r="F24" s="70">
        <f t="shared" si="2"/>
        <v>2038</v>
      </c>
      <c r="G24" s="80">
        <f t="shared" si="6"/>
        <v>46371.087321346924</v>
      </c>
      <c r="H24" s="79">
        <f t="shared" si="8"/>
        <v>3.2426490026828958E-3</v>
      </c>
      <c r="I24" s="70">
        <f>IF(AND(F24&gt;='Inputs &amp; Outputs'!B$13,F24&lt;'Inputs &amp; Outputs'!B$13+'Inputs &amp; Outputs'!B$19),1,0)</f>
        <v>1</v>
      </c>
      <c r="J24" s="71">
        <f>I24*'Inputs &amp; Outputs'!B$16*'Benefit Calculations'!G24*('Benefit Calculations'!C$4-'Benefit Calculations'!C$5)</f>
        <v>140.47923732840732</v>
      </c>
      <c r="K24" s="89">
        <f t="shared" si="3"/>
        <v>4.0261514428589905E-2</v>
      </c>
      <c r="L24" s="72">
        <f>K24*'Assumed Values'!$C$8</f>
        <v>302.283450329853</v>
      </c>
      <c r="M24" s="73">
        <f t="shared" si="0"/>
        <v>78.115787801376214</v>
      </c>
      <c r="N24" s="88">
        <f>I24*'Inputs &amp; Outputs'!B$16*'Benefit Calculations'!G24*('Benefit Calculations'!D$4-'Benefit Calculations'!D$5)</f>
        <v>72.917618472837248</v>
      </c>
      <c r="O24" s="89">
        <f t="shared" si="4"/>
        <v>2.0898275105091894E-2</v>
      </c>
      <c r="P24" s="72">
        <f>ABS(O24*'Assumed Values'!$C$7)</f>
        <v>39.811214075200056</v>
      </c>
      <c r="Q24" s="73">
        <f t="shared" si="1"/>
        <v>10.287974242122653</v>
      </c>
      <c r="T24" s="85">
        <f t="shared" si="5"/>
        <v>3.6524601705385906E-2</v>
      </c>
      <c r="U24" s="86">
        <f>T24*'Assumed Values'!$D$8</f>
        <v>0</v>
      </c>
    </row>
    <row r="25" spans="2:21" x14ac:dyDescent="0.25">
      <c r="F25" s="70">
        <f t="shared" si="2"/>
        <v>2039</v>
      </c>
      <c r="G25" s="80">
        <f t="shared" si="6"/>
        <v>46521.452481402812</v>
      </c>
      <c r="H25" s="79">
        <f t="shared" si="8"/>
        <v>3.2426490026828958E-3</v>
      </c>
      <c r="I25" s="70">
        <f>IF(AND(F25&gt;='Inputs &amp; Outputs'!B$13,F25&lt;'Inputs &amp; Outputs'!B$13+'Inputs &amp; Outputs'!B$19),1,0)</f>
        <v>1</v>
      </c>
      <c r="J25" s="71">
        <f>I25*'Inputs &amp; Outputs'!B$16*'Benefit Calculations'!G25*('Benefit Calculations'!C$4-'Benefit Calculations'!C$5)</f>
        <v>140.93476218722793</v>
      </c>
      <c r="K25" s="89">
        <f t="shared" si="3"/>
        <v>4.0392068388198268E-2</v>
      </c>
      <c r="L25" s="72">
        <f>K25*'Assumed Values'!$C$8</f>
        <v>303.26364945859262</v>
      </c>
      <c r="M25" s="73">
        <f t="shared" si="0"/>
        <v>73.242140077368347</v>
      </c>
      <c r="N25" s="88">
        <f>I25*'Inputs &amp; Outputs'!B$16*'Benefit Calculations'!G25*('Benefit Calculations'!D$4-'Benefit Calculations'!D$5)</f>
        <v>73.154064715656204</v>
      </c>
      <c r="O25" s="89">
        <f t="shared" si="4"/>
        <v>2.096604087601921E-2</v>
      </c>
      <c r="P25" s="72">
        <f>ABS(O25*'Assumed Values'!$C$7)</f>
        <v>39.940307868816596</v>
      </c>
      <c r="Q25" s="73">
        <f t="shared" si="1"/>
        <v>9.6461070388210253</v>
      </c>
      <c r="T25" s="85">
        <f t="shared" si="5"/>
        <v>3.6643038168679261E-2</v>
      </c>
      <c r="U25" s="86">
        <f>T25*'Assumed Values'!$D$8</f>
        <v>0</v>
      </c>
    </row>
    <row r="26" spans="2:21" x14ac:dyDescent="0.25">
      <c r="F26" s="70">
        <f t="shared" si="2"/>
        <v>2040</v>
      </c>
      <c r="G26" s="80">
        <f t="shared" si="6"/>
        <v>46672.305222894989</v>
      </c>
      <c r="H26" s="79">
        <f t="shared" si="8"/>
        <v>3.2426490026828958E-3</v>
      </c>
      <c r="I26" s="70">
        <f>IF(AND(F26&gt;='Inputs &amp; Outputs'!B$13,F26&lt;'Inputs &amp; Outputs'!B$13+'Inputs &amp; Outputs'!B$19),1,0)</f>
        <v>1</v>
      </c>
      <c r="J26" s="71">
        <f>I26*'Inputs &amp; Outputs'!B$16*'Benefit Calculations'!G26*('Benefit Calculations'!C$4-'Benefit Calculations'!C$5)</f>
        <v>141.39176415327768</v>
      </c>
      <c r="K26" s="89">
        <f t="shared" si="3"/>
        <v>4.0523045688473557E-2</v>
      </c>
      <c r="L26" s="72">
        <f>K26*'Assumed Values'!$C$8</f>
        <v>304.24702702905944</v>
      </c>
      <c r="M26" s="73">
        <f t="shared" si="0"/>
        <v>68.672559467144467</v>
      </c>
      <c r="N26" s="88">
        <f>I26*'Inputs &amp; Outputs'!B$16*'Benefit Calculations'!G26*('Benefit Calculations'!D$4-'Benefit Calculations'!D$5)</f>
        <v>73.39127767064862</v>
      </c>
      <c r="O26" s="89">
        <f t="shared" si="4"/>
        <v>2.103402638755604E-2</v>
      </c>
      <c r="P26" s="72">
        <f>ABS(O26*'Assumed Values'!$C$7)</f>
        <v>40.069820268294258</v>
      </c>
      <c r="Q26" s="73">
        <f t="shared" si="1"/>
        <v>9.0442859609254498</v>
      </c>
      <c r="T26" s="85">
        <f t="shared" si="5"/>
        <v>3.6761858679852197E-2</v>
      </c>
      <c r="U26" s="86">
        <f>T26*'Assumed Values'!$D$8</f>
        <v>0</v>
      </c>
    </row>
    <row r="27" spans="2:21" x14ac:dyDescent="0.25">
      <c r="F27" s="70">
        <f t="shared" si="2"/>
        <v>2041</v>
      </c>
      <c r="G27" s="80">
        <f t="shared" si="6"/>
        <v>46823.647126878925</v>
      </c>
      <c r="H27" s="79">
        <f t="shared" si="8"/>
        <v>3.2426490026828958E-3</v>
      </c>
      <c r="I27" s="70">
        <f>IF(AND(F27&gt;='Inputs &amp; Outputs'!B$13,F27&lt;'Inputs &amp; Outputs'!B$13+'Inputs &amp; Outputs'!B$19),1,0)</f>
        <v>1</v>
      </c>
      <c r="J27" s="71">
        <f>I27*'Inputs &amp; Outputs'!B$16*'Benefit Calculations'!G27*('Benefit Calculations'!C$4-'Benefit Calculations'!C$5)</f>
        <v>141.85024801629689</v>
      </c>
      <c r="K27" s="89">
        <f t="shared" si="3"/>
        <v>4.0654447702160965E-2</v>
      </c>
      <c r="L27" s="72">
        <f>K27*'Assumed Values'!$C$8</f>
        <v>305.23359334782452</v>
      </c>
      <c r="M27" s="73">
        <f t="shared" si="0"/>
        <v>64.388075208983452</v>
      </c>
      <c r="N27" s="88">
        <f>I27*'Inputs &amp; Outputs'!B$16*'Benefit Calculations'!G27*('Benefit Calculations'!D$4-'Benefit Calculations'!D$5)</f>
        <v>73.629259823992982</v>
      </c>
      <c r="O27" s="89">
        <f t="shared" si="4"/>
        <v>2.1102232352244059E-2</v>
      </c>
      <c r="P27" s="72">
        <f>ABS(O27*'Assumed Values'!$C$7)</f>
        <v>40.199752631024936</v>
      </c>
      <c r="Q27" s="73">
        <f t="shared" si="1"/>
        <v>8.4800125287632007</v>
      </c>
      <c r="T27" s="85">
        <f t="shared" si="5"/>
        <v>3.688106448423719E-2</v>
      </c>
      <c r="U27" s="86">
        <f>T27*'Assumed Values'!$D$8</f>
        <v>0</v>
      </c>
    </row>
    <row r="28" spans="2:21" x14ac:dyDescent="0.25">
      <c r="F28" s="70">
        <f t="shared" si="2"/>
        <v>2042</v>
      </c>
      <c r="G28" s="80">
        <f t="shared" si="6"/>
        <v>46975.479779536872</v>
      </c>
      <c r="H28" s="79">
        <f t="shared" si="8"/>
        <v>3.2426490026828958E-3</v>
      </c>
      <c r="I28" s="70">
        <f>IF(AND(F28&gt;='Inputs &amp; Outputs'!B$13,F28&lt;'Inputs &amp; Outputs'!B$13+'Inputs &amp; Outputs'!B$19),1,0)</f>
        <v>1</v>
      </c>
      <c r="J28" s="71">
        <f>I28*'Inputs &amp; Outputs'!B$16*'Benefit Calculations'!G28*('Benefit Calculations'!C$4-'Benefit Calculations'!C$5)</f>
        <v>142.31021858155725</v>
      </c>
      <c r="K28" s="89">
        <f t="shared" si="3"/>
        <v>4.0786275806456995E-2</v>
      </c>
      <c r="L28" s="72">
        <f>K28*'Assumed Values'!$C$8</f>
        <v>306.22335875487914</v>
      </c>
      <c r="M28" s="73">
        <f t="shared" si="0"/>
        <v>60.370900127892078</v>
      </c>
      <c r="N28" s="88">
        <f>I28*'Inputs &amp; Outputs'!B$16*'Benefit Calculations'!G28*('Benefit Calculations'!D$4-'Benefit Calculations'!D$5)</f>
        <v>73.868013669929525</v>
      </c>
      <c r="O28" s="89">
        <f t="shared" si="4"/>
        <v>2.1170659484935447E-2</v>
      </c>
      <c r="P28" s="72">
        <f>ABS(O28*'Assumed Values'!$C$7)</f>
        <v>40.330106318802024</v>
      </c>
      <c r="Q28" s="73">
        <f t="shared" si="1"/>
        <v>7.9509441429274128</v>
      </c>
      <c r="T28" s="85">
        <f t="shared" si="5"/>
        <v>3.7000656831204883E-2</v>
      </c>
      <c r="U28" s="86">
        <f>T28*'Assumed Values'!$D$8</f>
        <v>0</v>
      </c>
    </row>
    <row r="29" spans="2:21" x14ac:dyDescent="0.25">
      <c r="F29" s="70">
        <f t="shared" si="2"/>
        <v>2043</v>
      </c>
      <c r="G29" s="80">
        <f t="shared" si="6"/>
        <v>47127.80477219454</v>
      </c>
      <c r="H29" s="79">
        <f t="shared" si="8"/>
        <v>3.2426490026828958E-3</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47280.623701337732</v>
      </c>
      <c r="H30" s="79">
        <f t="shared" si="8"/>
        <v>3.2426490026828958E-3</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48208</v>
      </c>
      <c r="H31" s="79">
        <f t="shared" si="8"/>
        <v>3.2426490026828958E-3</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48364.321623121337</v>
      </c>
      <c r="H32" s="79">
        <f t="shared" si="8"/>
        <v>3.2426490026828958E-3</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48521.150142397986</v>
      </c>
      <c r="H33" s="79">
        <f t="shared" si="8"/>
        <v>3.2426490026828958E-3</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48678.487201516262</v>
      </c>
      <c r="H34" s="79">
        <f t="shared" si="8"/>
        <v>3.2426490026828958E-3</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48836.334449492373</v>
      </c>
      <c r="H35" s="79">
        <f t="shared" si="8"/>
        <v>3.2426490026828958E-3</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48994.69354068971</v>
      </c>
      <c r="H36" s="79">
        <f t="shared" si="8"/>
        <v>3.2426490026828958E-3</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2760.3273350506374</v>
      </c>
      <c r="K37" s="71">
        <f t="shared" ref="K37:Q37" si="9">SUM(K4:K36)</f>
        <v>0.79111305657194775</v>
      </c>
      <c r="L37" s="74">
        <f t="shared" si="9"/>
        <v>5939.6768287421828</v>
      </c>
      <c r="M37" s="75">
        <f t="shared" si="9"/>
        <v>2383.2182122069944</v>
      </c>
      <c r="N37" s="88">
        <f t="shared" si="9"/>
        <v>1432.7846541964702</v>
      </c>
      <c r="O37" s="88">
        <f t="shared" si="9"/>
        <v>0.41063776487579406</v>
      </c>
      <c r="P37" s="76">
        <f t="shared" si="9"/>
        <v>782.26494208838744</v>
      </c>
      <c r="Q37" s="75">
        <f t="shared" si="9"/>
        <v>313.87365180116882</v>
      </c>
      <c r="T37" s="85">
        <f>SUM(T4:T36)</f>
        <v>0.7176851071131658</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4" t="s">
        <v>118</v>
      </c>
      <c r="B1" s="124"/>
      <c r="C1" s="124"/>
      <c r="D1" s="124"/>
      <c r="E1" s="124"/>
      <c r="F1" s="124"/>
      <c r="G1" s="124"/>
      <c r="H1" s="124"/>
      <c r="I1" s="124"/>
      <c r="J1" s="124"/>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4" t="s">
        <v>118</v>
      </c>
      <c r="B20" s="124"/>
      <c r="C20" s="124"/>
      <c r="D20" s="124"/>
      <c r="E20" s="124"/>
      <c r="F20" s="124"/>
      <c r="G20" s="124"/>
      <c r="H20" s="124"/>
      <c r="I20" s="124"/>
      <c r="J20" s="124"/>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4" t="s">
        <v>118</v>
      </c>
      <c r="B1" s="124"/>
      <c r="C1" s="124"/>
      <c r="D1" s="124"/>
      <c r="E1" s="124"/>
      <c r="F1" s="124"/>
      <c r="G1" s="124"/>
      <c r="H1" s="124"/>
      <c r="I1" s="124"/>
      <c r="J1" s="124"/>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4" t="s">
        <v>118</v>
      </c>
      <c r="B20" s="124"/>
      <c r="C20" s="124"/>
      <c r="D20" s="124"/>
      <c r="E20" s="124"/>
      <c r="F20" s="124"/>
      <c r="G20" s="124"/>
      <c r="H20" s="124"/>
      <c r="I20" s="124"/>
      <c r="J20" s="124"/>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Marcello Victorino</cp:lastModifiedBy>
  <cp:lastPrinted>2018-04-10T17:15:43Z</cp:lastPrinted>
  <dcterms:created xsi:type="dcterms:W3CDTF">2012-07-25T15:48:32Z</dcterms:created>
  <dcterms:modified xsi:type="dcterms:W3CDTF">2018-10-31T19:53:29Z</dcterms:modified>
</cp:coreProperties>
</file>