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18735" windowHeight="7515" tabRatio="763" activeTab="3"/>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Assumed Values" sheetId="2" r:id="rId6"/>
    <sheet name="Emission Factors - NOx" sheetId="16" r:id="rId7"/>
    <sheet name="Emission Factors - VOC" sheetId="17" r:id="rId8"/>
    <sheet name="Service Life " sheetId="19" r:id="rId9"/>
  </sheets>
  <externalReferences>
    <externalReference r:id="rId10"/>
    <externalReference r:id="rId11"/>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5">'Assumed Values'!$B$2:$C$22</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45621"/>
</workbook>
</file>

<file path=xl/calcChain.xml><?xml version="1.0" encoding="utf-8"?>
<calcChain xmlns="http://schemas.openxmlformats.org/spreadsheetml/2006/main">
  <c r="F13" i="18" l="1"/>
  <c r="F14" i="18"/>
  <c r="F15" i="18"/>
  <c r="F16" i="18"/>
  <c r="F17" i="18"/>
  <c r="F18" i="18"/>
  <c r="F19" i="18"/>
  <c r="F20" i="18"/>
  <c r="F21" i="18"/>
  <c r="F22" i="18"/>
  <c r="F23" i="18"/>
  <c r="F24" i="18"/>
  <c r="F25" i="18"/>
  <c r="F26" i="18"/>
  <c r="F27" i="18"/>
  <c r="F28" i="18"/>
  <c r="F29" i="18"/>
  <c r="F30" i="18"/>
  <c r="F31" i="18"/>
  <c r="F32" i="18"/>
  <c r="F33" i="18"/>
  <c r="F34" i="18"/>
  <c r="F35" i="18"/>
  <c r="F36" i="18"/>
  <c r="F12" i="18"/>
  <c r="F5" i="18" l="1"/>
  <c r="F6" i="18"/>
  <c r="F7" i="18"/>
  <c r="F8" i="18"/>
  <c r="F9" i="18"/>
  <c r="F10" i="18"/>
  <c r="F11" i="18"/>
  <c r="F4" i="18"/>
  <c r="B15" i="15" l="1"/>
  <c r="C15" i="2" l="1"/>
  <c r="E4" i="18" l="1"/>
  <c r="A37" i="15" l="1"/>
  <c r="B5" i="18" l="1"/>
  <c r="B4" i="18"/>
  <c r="G11" i="18" l="1"/>
  <c r="G9" i="18"/>
  <c r="M5" i="18"/>
  <c r="M13" i="18"/>
  <c r="M21" i="18"/>
  <c r="M29" i="18"/>
  <c r="M4" i="18"/>
  <c r="N4" i="18" s="1"/>
  <c r="M28" i="18"/>
  <c r="M6" i="18"/>
  <c r="M14" i="18"/>
  <c r="M22" i="18"/>
  <c r="M30" i="18"/>
  <c r="M35" i="18"/>
  <c r="M7" i="18"/>
  <c r="M15" i="18"/>
  <c r="M23" i="18"/>
  <c r="M31" i="18"/>
  <c r="M8" i="18"/>
  <c r="M16" i="18"/>
  <c r="M24" i="18"/>
  <c r="M32" i="18"/>
  <c r="M27" i="18"/>
  <c r="M20" i="18"/>
  <c r="M9" i="18"/>
  <c r="M17" i="18"/>
  <c r="M25" i="18"/>
  <c r="M33" i="18"/>
  <c r="M19" i="18"/>
  <c r="M36" i="18"/>
  <c r="M10" i="18"/>
  <c r="M18" i="18"/>
  <c r="M26" i="18"/>
  <c r="M34" i="18"/>
  <c r="M11" i="18"/>
  <c r="M12" i="18"/>
  <c r="G19" i="18"/>
  <c r="G27" i="18"/>
  <c r="G35" i="18"/>
  <c r="G12" i="18"/>
  <c r="G20" i="18"/>
  <c r="G28" i="18"/>
  <c r="G36" i="18"/>
  <c r="G26" i="18"/>
  <c r="G5" i="18"/>
  <c r="G13" i="18"/>
  <c r="G21" i="18"/>
  <c r="G29"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G6" i="18"/>
  <c r="G14" i="18"/>
  <c r="G22" i="18"/>
  <c r="G30" i="18"/>
  <c r="G7" i="18"/>
  <c r="G15" i="18"/>
  <c r="G23" i="18"/>
  <c r="G31" i="18"/>
  <c r="G18" i="18"/>
  <c r="G8" i="18"/>
  <c r="G16" i="18"/>
  <c r="G24" i="18"/>
  <c r="G32" i="18"/>
  <c r="G17" i="18"/>
  <c r="G25" i="18"/>
  <c r="G33" i="18"/>
  <c r="G10" i="18"/>
  <c r="G34" i="18"/>
  <c r="D5" i="18"/>
  <c r="E5" i="18" s="1"/>
  <c r="O4" i="18" l="1"/>
  <c r="P4" i="18" s="1"/>
  <c r="Q4" i="18" s="1"/>
  <c r="N5" i="18"/>
  <c r="O5" i="18" s="1"/>
  <c r="P5" i="18" s="1"/>
  <c r="Q5" i="18" s="1"/>
  <c r="I4" i="18"/>
  <c r="J4" i="18" s="1"/>
  <c r="K4" i="18" s="1"/>
  <c r="I5" i="18"/>
  <c r="J5" i="18" s="1"/>
  <c r="K5" i="18" s="1"/>
  <c r="D6" i="18"/>
  <c r="E6" i="18" s="1"/>
  <c r="R5" i="18" l="1"/>
  <c r="N6" i="18"/>
  <c r="O6" i="18" s="1"/>
  <c r="P6" i="18" s="1"/>
  <c r="Q6" i="18" s="1"/>
  <c r="D7" i="18"/>
  <c r="E7" i="18" s="1"/>
  <c r="R4" i="18" l="1"/>
  <c r="N7" i="18"/>
  <c r="N8" i="18" s="1"/>
  <c r="I6" i="18"/>
  <c r="J6" i="18" s="1"/>
  <c r="K6" i="18" s="1"/>
  <c r="D8" i="18"/>
  <c r="E8" i="18" s="1"/>
  <c r="O7" i="18" l="1"/>
  <c r="P7" i="18" s="1"/>
  <c r="Q7" i="18" s="1"/>
  <c r="N9" i="18"/>
  <c r="O8" i="18"/>
  <c r="P8" i="18" s="1"/>
  <c r="Q8" i="18" s="1"/>
  <c r="I7" i="18"/>
  <c r="J7" i="18" s="1"/>
  <c r="K7" i="18" s="1"/>
  <c r="D9" i="18"/>
  <c r="E9" i="18" s="1"/>
  <c r="R7" i="18" l="1"/>
  <c r="R6" i="18"/>
  <c r="N10" i="18"/>
  <c r="O9" i="18"/>
  <c r="P9" i="18" s="1"/>
  <c r="Q9" i="18" s="1"/>
  <c r="I8" i="18"/>
  <c r="J8" i="18" s="1"/>
  <c r="K8" i="18" s="1"/>
  <c r="D10" i="18"/>
  <c r="E10" i="18" s="1"/>
  <c r="N11" i="18" l="1"/>
  <c r="O10" i="18"/>
  <c r="P10" i="18" s="1"/>
  <c r="Q10" i="18" s="1"/>
  <c r="I9" i="18"/>
  <c r="J9" i="18" s="1"/>
  <c r="K9" i="18" s="1"/>
  <c r="D11" i="18"/>
  <c r="E11" i="18" s="1"/>
  <c r="R9" i="18" l="1"/>
  <c r="R8" i="18"/>
  <c r="N12" i="18"/>
  <c r="O11" i="18"/>
  <c r="P11" i="18" s="1"/>
  <c r="Q11" i="18" s="1"/>
  <c r="I10" i="18"/>
  <c r="J10" i="18" s="1"/>
  <c r="K10" i="18" s="1"/>
  <c r="D12" i="18"/>
  <c r="E12" i="18" s="1"/>
  <c r="N13" i="18" l="1"/>
  <c r="O12" i="18"/>
  <c r="P12" i="18" s="1"/>
  <c r="Q12" i="18" s="1"/>
  <c r="I12" i="18"/>
  <c r="J12" i="18" s="1"/>
  <c r="K12" i="18" s="1"/>
  <c r="I11" i="18"/>
  <c r="J11" i="18" s="1"/>
  <c r="K11" i="18" s="1"/>
  <c r="D13" i="18"/>
  <c r="E13" i="18" s="1"/>
  <c r="R11" i="18" l="1"/>
  <c r="R10" i="18"/>
  <c r="N14" i="18"/>
  <c r="O13" i="18"/>
  <c r="P13" i="18" s="1"/>
  <c r="Q13" i="18" s="1"/>
  <c r="I13" i="18"/>
  <c r="J13" i="18" s="1"/>
  <c r="K13" i="18" s="1"/>
  <c r="D14" i="18"/>
  <c r="E14" i="18" s="1"/>
  <c r="R12" i="18" l="1"/>
  <c r="N15" i="18"/>
  <c r="O14" i="18"/>
  <c r="P14" i="18" s="1"/>
  <c r="Q14" i="18" s="1"/>
  <c r="I14" i="18"/>
  <c r="J14" i="18" s="1"/>
  <c r="K14" i="18" s="1"/>
  <c r="D15" i="18"/>
  <c r="E15" i="18" s="1"/>
  <c r="R13" i="18" l="1"/>
  <c r="N16" i="18"/>
  <c r="O15" i="18"/>
  <c r="P15" i="18" s="1"/>
  <c r="Q15" i="18" s="1"/>
  <c r="I15" i="18"/>
  <c r="J15" i="18" s="1"/>
  <c r="K15" i="18" s="1"/>
  <c r="D16" i="18"/>
  <c r="E16" i="18" s="1"/>
  <c r="R14" i="18" l="1"/>
  <c r="N17" i="18"/>
  <c r="O16" i="18"/>
  <c r="P16" i="18" s="1"/>
  <c r="Q16" i="18" s="1"/>
  <c r="I16" i="18"/>
  <c r="J16" i="18" s="1"/>
  <c r="K16" i="18" s="1"/>
  <c r="D17" i="18"/>
  <c r="E17" i="18" s="1"/>
  <c r="R15" i="18" l="1"/>
  <c r="N18" i="18"/>
  <c r="O17" i="18"/>
  <c r="P17" i="18" s="1"/>
  <c r="Q17" i="18" s="1"/>
  <c r="I17" i="18"/>
  <c r="J17" i="18" s="1"/>
  <c r="K17" i="18" s="1"/>
  <c r="D18" i="18"/>
  <c r="E18" i="18" s="1"/>
  <c r="R16" i="18" l="1"/>
  <c r="N19" i="18"/>
  <c r="O18" i="18"/>
  <c r="P18" i="18" s="1"/>
  <c r="Q18" i="18" s="1"/>
  <c r="I18" i="18"/>
  <c r="J18" i="18" s="1"/>
  <c r="K18" i="18" s="1"/>
  <c r="D19" i="18"/>
  <c r="E19" i="18" s="1"/>
  <c r="R17" i="18" l="1"/>
  <c r="N20" i="18"/>
  <c r="O19" i="18"/>
  <c r="P19" i="18" s="1"/>
  <c r="Q19" i="18" s="1"/>
  <c r="I19" i="18"/>
  <c r="J19" i="18" s="1"/>
  <c r="K19" i="18" s="1"/>
  <c r="D20" i="18"/>
  <c r="E20" i="18" s="1"/>
  <c r="R18" i="18" l="1"/>
  <c r="N21" i="18"/>
  <c r="O20" i="18"/>
  <c r="P20" i="18" s="1"/>
  <c r="Q20" i="18" s="1"/>
  <c r="I20" i="18"/>
  <c r="J20" i="18" s="1"/>
  <c r="K20" i="18" s="1"/>
  <c r="D21" i="18"/>
  <c r="E21" i="18" s="1"/>
  <c r="B18" i="5"/>
  <c r="E17" i="5" s="1"/>
  <c r="B19" i="5"/>
  <c r="E18" i="5" s="1"/>
  <c r="G4" i="7"/>
  <c r="G5" i="7" s="1"/>
  <c r="H5" i="7" s="1"/>
  <c r="G4" i="5"/>
  <c r="G5" i="5" s="1"/>
  <c r="G6" i="5" s="1"/>
  <c r="G7" i="5" s="1"/>
  <c r="G8" i="5" s="1"/>
  <c r="G9" i="5" s="1"/>
  <c r="G10" i="5" s="1"/>
  <c r="G11" i="5" s="1"/>
  <c r="G12" i="5" s="1"/>
  <c r="G13" i="5" s="1"/>
  <c r="G14" i="5" s="1"/>
  <c r="H4" i="7"/>
  <c r="I4" i="7" s="1"/>
  <c r="B18" i="7"/>
  <c r="B17" i="7"/>
  <c r="B16" i="7"/>
  <c r="E17" i="7"/>
  <c r="R19" i="18" l="1"/>
  <c r="N22" i="18"/>
  <c r="O21" i="18"/>
  <c r="P21" i="18" s="1"/>
  <c r="Q21" i="18" s="1"/>
  <c r="I21" i="18"/>
  <c r="J21" i="18" s="1"/>
  <c r="K21" i="18" s="1"/>
  <c r="D22" i="18"/>
  <c r="E22" i="18" s="1"/>
  <c r="J14" i="5"/>
  <c r="H14" i="5"/>
  <c r="G15" i="5"/>
  <c r="H10" i="5"/>
  <c r="G6" i="7"/>
  <c r="I5" i="7"/>
  <c r="H6" i="5"/>
  <c r="H11" i="5"/>
  <c r="J5" i="5"/>
  <c r="J13" i="5"/>
  <c r="J11" i="5"/>
  <c r="J10" i="5"/>
  <c r="J9" i="5"/>
  <c r="J4" i="5"/>
  <c r="J12" i="5"/>
  <c r="J8" i="5"/>
  <c r="J7" i="5"/>
  <c r="J6" i="5"/>
  <c r="H12" i="5"/>
  <c r="H4" i="5"/>
  <c r="H13" i="5"/>
  <c r="H5" i="5"/>
  <c r="H7" i="5"/>
  <c r="H8" i="5"/>
  <c r="H9" i="5"/>
  <c r="R20" i="18" l="1"/>
  <c r="N23" i="18"/>
  <c r="O22" i="18"/>
  <c r="P22" i="18" s="1"/>
  <c r="Q22" i="18" s="1"/>
  <c r="I22" i="18"/>
  <c r="J22" i="18" s="1"/>
  <c r="K22" i="18" s="1"/>
  <c r="D23" i="18"/>
  <c r="E23" i="18" s="1"/>
  <c r="B20" i="5"/>
  <c r="I8" i="5" s="1"/>
  <c r="B21" i="5"/>
  <c r="K4" i="5" s="1"/>
  <c r="H6" i="7"/>
  <c r="I6" i="7"/>
  <c r="G7" i="7"/>
  <c r="H15" i="5"/>
  <c r="G16" i="5"/>
  <c r="J15" i="5"/>
  <c r="B19" i="7"/>
  <c r="R21" i="18" l="1"/>
  <c r="N24" i="18"/>
  <c r="O23" i="18"/>
  <c r="P23" i="18" s="1"/>
  <c r="Q23" i="18" s="1"/>
  <c r="I23" i="18"/>
  <c r="J23" i="18" s="1"/>
  <c r="K23" i="18" s="1"/>
  <c r="D24" i="18"/>
  <c r="E24"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R22" i="18" l="1"/>
  <c r="N25" i="18"/>
  <c r="O24" i="18"/>
  <c r="P24" i="18" s="1"/>
  <c r="Q24" i="18" s="1"/>
  <c r="I24" i="18"/>
  <c r="J24" i="18" s="1"/>
  <c r="K24" i="18" s="1"/>
  <c r="D25" i="18"/>
  <c r="E25" i="18" s="1"/>
  <c r="H8" i="7"/>
  <c r="I8" i="7"/>
  <c r="J8" i="7" s="1"/>
  <c r="G9" i="7"/>
  <c r="G18" i="5"/>
  <c r="H17" i="5"/>
  <c r="J17" i="5"/>
  <c r="K17" i="5" s="1"/>
  <c r="B11" i="7"/>
  <c r="B12" i="7" s="1"/>
  <c r="R23" i="18" l="1"/>
  <c r="N26" i="18"/>
  <c r="O25" i="18"/>
  <c r="P25" i="18" s="1"/>
  <c r="Q25" i="18" s="1"/>
  <c r="I25" i="18"/>
  <c r="J25" i="18" s="1"/>
  <c r="K25" i="18" s="1"/>
  <c r="D26" i="18"/>
  <c r="E26" i="18" s="1"/>
  <c r="I17" i="5"/>
  <c r="G10" i="7"/>
  <c r="H9" i="7"/>
  <c r="I9" i="7" s="1"/>
  <c r="J9" i="7" s="1"/>
  <c r="G19" i="5"/>
  <c r="H18" i="5"/>
  <c r="I18" i="5" s="1"/>
  <c r="J18" i="5"/>
  <c r="K18" i="5" s="1"/>
  <c r="R24" i="18" l="1"/>
  <c r="N27" i="18"/>
  <c r="O26" i="18"/>
  <c r="P26" i="18" s="1"/>
  <c r="Q26" i="18" s="1"/>
  <c r="I26" i="18"/>
  <c r="J26" i="18" s="1"/>
  <c r="K26" i="18" s="1"/>
  <c r="D27" i="18"/>
  <c r="E27" i="18" s="1"/>
  <c r="J19" i="5"/>
  <c r="K19" i="5" s="1"/>
  <c r="G20" i="5"/>
  <c r="H19" i="5"/>
  <c r="I19" i="5" s="1"/>
  <c r="G11" i="7"/>
  <c r="H10" i="7"/>
  <c r="I10" i="7" s="1"/>
  <c r="J10" i="7" s="1"/>
  <c r="R25" i="18" l="1"/>
  <c r="N28" i="18"/>
  <c r="O27" i="18"/>
  <c r="P27" i="18" s="1"/>
  <c r="Q27" i="18" s="1"/>
  <c r="I27" i="18"/>
  <c r="J27" i="18" s="1"/>
  <c r="K27" i="18" s="1"/>
  <c r="D28" i="18"/>
  <c r="E28" i="18" s="1"/>
  <c r="H11" i="7"/>
  <c r="I11" i="7"/>
  <c r="J11" i="7" s="1"/>
  <c r="G12" i="7"/>
  <c r="J20" i="5"/>
  <c r="K20" i="5" s="1"/>
  <c r="G21" i="5"/>
  <c r="H20" i="5"/>
  <c r="R26" i="18" l="1"/>
  <c r="N29" i="18"/>
  <c r="O28" i="18"/>
  <c r="P28" i="18" s="1"/>
  <c r="Q28" i="18" s="1"/>
  <c r="I28" i="18"/>
  <c r="J28" i="18" s="1"/>
  <c r="K28" i="18" s="1"/>
  <c r="D29" i="18"/>
  <c r="E29" i="18" s="1"/>
  <c r="I20" i="5"/>
  <c r="G13" i="7"/>
  <c r="H12" i="7"/>
  <c r="I12" i="7" s="1"/>
  <c r="J12" i="7" s="1"/>
  <c r="J21" i="5"/>
  <c r="K21" i="5" s="1"/>
  <c r="H21" i="5"/>
  <c r="I21" i="5" s="1"/>
  <c r="G22" i="5"/>
  <c r="R27" i="18" l="1"/>
  <c r="N30" i="18"/>
  <c r="O29" i="18"/>
  <c r="P29" i="18" s="1"/>
  <c r="Q29" i="18" s="1"/>
  <c r="I29" i="18"/>
  <c r="J29" i="18" s="1"/>
  <c r="K29" i="18" s="1"/>
  <c r="D30" i="18"/>
  <c r="E30" i="18" s="1"/>
  <c r="H13" i="7"/>
  <c r="I13" i="7" s="1"/>
  <c r="J13" i="7" s="1"/>
  <c r="G14" i="7"/>
  <c r="J22" i="5"/>
  <c r="K22" i="5" s="1"/>
  <c r="G23" i="5"/>
  <c r="H22" i="5"/>
  <c r="I22" i="5" s="1"/>
  <c r="R28" i="18" l="1"/>
  <c r="N31" i="18"/>
  <c r="O30" i="18"/>
  <c r="P30" i="18" s="1"/>
  <c r="Q30" i="18" s="1"/>
  <c r="I30" i="18"/>
  <c r="J30" i="18" s="1"/>
  <c r="K30" i="18" s="1"/>
  <c r="D31" i="18"/>
  <c r="E31" i="18" s="1"/>
  <c r="H23" i="5"/>
  <c r="I23" i="5" s="1"/>
  <c r="J23" i="5"/>
  <c r="K23" i="5" s="1"/>
  <c r="G24" i="5"/>
  <c r="H14" i="7"/>
  <c r="I14" i="7" s="1"/>
  <c r="J14" i="7" s="1"/>
  <c r="G15" i="7"/>
  <c r="R29" i="18" l="1"/>
  <c r="N32" i="18"/>
  <c r="O31" i="18"/>
  <c r="P31" i="18" s="1"/>
  <c r="Q31" i="18" s="1"/>
  <c r="I31" i="18"/>
  <c r="J31" i="18" s="1"/>
  <c r="K31" i="18" s="1"/>
  <c r="D32" i="18"/>
  <c r="E32" i="18" s="1"/>
  <c r="G16" i="7"/>
  <c r="H15" i="7"/>
  <c r="I15" i="7"/>
  <c r="J15" i="7" s="1"/>
  <c r="H24" i="5"/>
  <c r="I24" i="5" s="1"/>
  <c r="J24" i="5"/>
  <c r="K24" i="5" s="1"/>
  <c r="G25" i="5"/>
  <c r="R30" i="18" l="1"/>
  <c r="N33" i="18"/>
  <c r="O32" i="18"/>
  <c r="P32" i="18" s="1"/>
  <c r="Q32" i="18" s="1"/>
  <c r="I32" i="18"/>
  <c r="J32" i="18" s="1"/>
  <c r="K32" i="18" s="1"/>
  <c r="D33" i="18"/>
  <c r="E33" i="18" s="1"/>
  <c r="B11" i="5"/>
  <c r="B12" i="5" s="1"/>
  <c r="G26" i="5"/>
  <c r="H25" i="5"/>
  <c r="I25" i="5" s="1"/>
  <c r="J25" i="5"/>
  <c r="K25" i="5" s="1"/>
  <c r="H16" i="7"/>
  <c r="I16" i="7" s="1"/>
  <c r="J16" i="7" s="1"/>
  <c r="G17" i="7"/>
  <c r="R31" i="18" l="1"/>
  <c r="N34" i="18"/>
  <c r="O33" i="18"/>
  <c r="P33" i="18" s="1"/>
  <c r="Q33" i="18" s="1"/>
  <c r="I33" i="18"/>
  <c r="J33" i="18" s="1"/>
  <c r="K33" i="18" s="1"/>
  <c r="D34" i="18"/>
  <c r="E34" i="18" s="1"/>
  <c r="H17" i="7"/>
  <c r="I17" i="7" s="1"/>
  <c r="J17" i="7" s="1"/>
  <c r="G18" i="7"/>
  <c r="G27" i="5"/>
  <c r="H26" i="5"/>
  <c r="I26" i="5" s="1"/>
  <c r="J26" i="5"/>
  <c r="K26" i="5" s="1"/>
  <c r="R32" i="18" l="1"/>
  <c r="N35" i="18"/>
  <c r="O34" i="18"/>
  <c r="P34" i="18" s="1"/>
  <c r="Q34" i="18" s="1"/>
  <c r="I34" i="18"/>
  <c r="J34" i="18" s="1"/>
  <c r="K34" i="18" s="1"/>
  <c r="D35" i="18"/>
  <c r="E35" i="18" s="1"/>
  <c r="J27" i="5"/>
  <c r="K27" i="5" s="1"/>
  <c r="G28" i="5"/>
  <c r="H27" i="5"/>
  <c r="I27" i="5" s="1"/>
  <c r="G19" i="7"/>
  <c r="H18" i="7"/>
  <c r="I18" i="7" s="1"/>
  <c r="J18" i="7" s="1"/>
  <c r="R33" i="18" l="1"/>
  <c r="N36" i="18"/>
  <c r="O35" i="18"/>
  <c r="P35" i="18" s="1"/>
  <c r="Q35" i="18" s="1"/>
  <c r="I35" i="18"/>
  <c r="J35" i="18" s="1"/>
  <c r="K35" i="18" s="1"/>
  <c r="D36" i="18"/>
  <c r="E36" i="18" s="1"/>
  <c r="I36" i="18" s="1"/>
  <c r="J36" i="18" s="1"/>
  <c r="K36" i="18" s="1"/>
  <c r="G29" i="5"/>
  <c r="H28" i="5"/>
  <c r="I28" i="5" s="1"/>
  <c r="J28" i="5"/>
  <c r="K28" i="5" s="1"/>
  <c r="H19" i="7"/>
  <c r="I19" i="7" s="1"/>
  <c r="J19" i="7" s="1"/>
  <c r="G20" i="7"/>
  <c r="R34" i="18" l="1"/>
  <c r="O36" i="18"/>
  <c r="P36" i="18" s="1"/>
  <c r="Q36" i="18" s="1"/>
  <c r="I37" i="18"/>
  <c r="J37" i="18" s="1"/>
  <c r="G21" i="7"/>
  <c r="H20" i="7"/>
  <c r="I20" i="7" s="1"/>
  <c r="J20" i="7" s="1"/>
  <c r="J29" i="5"/>
  <c r="K29" i="5" s="1"/>
  <c r="H29" i="5"/>
  <c r="O37" i="18" l="1"/>
  <c r="R35" i="18"/>
  <c r="I29" i="5"/>
  <c r="B13" i="5"/>
  <c r="H21" i="7"/>
  <c r="I21" i="7"/>
  <c r="J21" i="7" s="1"/>
  <c r="G22" i="7"/>
  <c r="R36" i="18" l="1"/>
  <c r="P37" i="18"/>
  <c r="B39" i="15" s="1"/>
  <c r="H22" i="7"/>
  <c r="I22" i="7" s="1"/>
  <c r="J22" i="7" s="1"/>
  <c r="G23" i="7"/>
  <c r="R37" i="18" l="1"/>
  <c r="B32" i="15" s="1"/>
  <c r="Q37" i="18"/>
  <c r="G24" i="7"/>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L25" i="18" l="1"/>
  <c r="L16" i="18"/>
  <c r="L18" i="18"/>
  <c r="L35" i="18"/>
  <c r="L27" i="18"/>
  <c r="L29" i="18"/>
  <c r="L14" i="18"/>
  <c r="L22" i="18"/>
  <c r="L21" i="18"/>
  <c r="L13" i="18"/>
  <c r="L23" i="18"/>
  <c r="L26" i="18"/>
  <c r="L9" i="18"/>
  <c r="L12" i="18"/>
  <c r="L31" i="18"/>
  <c r="L24" i="18"/>
  <c r="L7" i="18"/>
  <c r="L15" i="18"/>
  <c r="L36" i="18"/>
  <c r="L20" i="18"/>
  <c r="L5" i="18"/>
  <c r="L8" i="18"/>
  <c r="L32" i="18"/>
  <c r="L11" i="18"/>
  <c r="L19" i="18"/>
  <c r="L28" i="18"/>
  <c r="L33" i="18"/>
  <c r="L30" i="18"/>
  <c r="L34" i="18"/>
  <c r="L6" i="18"/>
  <c r="L10" i="18"/>
  <c r="L17" i="18"/>
  <c r="B38" i="15"/>
  <c r="L4" i="18" l="1"/>
  <c r="L37" i="18" s="1"/>
  <c r="B31" i="15" l="1"/>
  <c r="B35" i="15" s="1"/>
  <c r="K37" i="18"/>
</calcChain>
</file>

<file path=xl/sharedStrings.xml><?xml version="1.0" encoding="utf-8"?>
<sst xmlns="http://schemas.openxmlformats.org/spreadsheetml/2006/main" count="197" uniqueCount="128">
  <si>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</si>
  <si>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</si>
  <si>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</si>
  <si>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</si>
  <si>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</si>
  <si>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</si>
  <si>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</si>
  <si>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</si>
  <si>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</si>
  <si>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</si>
  <si>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</si>
  <si>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</si>
  <si>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</si>
  <si>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</si>
  <si>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</si>
  <si>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</si>
  <si>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</si>
  <si>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</si>
  <si>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</si>
  <si>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</si>
  <si>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</si>
  <si>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</si>
  <si>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</si>
  <si>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</si>
  <si>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</si>
  <si>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</si>
  <si>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</si>
  <si>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</si>
  <si>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</si>
  <si>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</si>
  <si>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</si>
  <si>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</si>
  <si>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</si>
  <si>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</si>
  <si>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</si>
  <si>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</si>
  <si>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</si>
  <si>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</si>
  <si>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</si>
  <si>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</si>
  <si>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</si>
  <si>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</si>
  <si>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</si>
  <si>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</si>
  <si>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</si>
  <si>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</si>
  <si>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</si>
  <si>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</si>
  <si>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</si>
  <si>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</si>
  <si>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</si>
  <si>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</si>
  <si>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</si>
  <si>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</si>
  <si>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</si>
  <si>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</si>
  <si>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</si>
  <si>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</si>
  <si>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</si>
  <si>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</si>
  <si>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</si>
  <si>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</si>
  <si>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</si>
  <si>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</si>
  <si>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</si>
  <si>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</si>
  <si>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</si>
  <si>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</si>
  <si>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</si>
  <si>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</si>
  <si>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</si>
  <si>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</si>
  <si>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</si>
  <si>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</si>
  <si>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</si>
  <si>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</si>
  <si>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</si>
  <si>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</si>
  <si>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</si>
  <si>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</si>
  <si>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</si>
  <si>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</si>
  <si>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</si>
  <si>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</si>
  <si>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</si>
  <si>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NOx (g/day)</t>
  </si>
  <si>
    <t>Volume Grown NOx (g/day)</t>
  </si>
  <si>
    <t>Base VOC 
(g/year)</t>
  </si>
  <si>
    <t>Volume Grown VOC (g/day)</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</si>
  <si>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</si>
  <si>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</si>
  <si>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</si>
  <si>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</si>
  <si>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</si>
  <si>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</si>
  <si>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</si>
  <si>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Average Vehicle Delay at Intersection After Implementation (in hours)</t>
  </si>
  <si>
    <t>Daily Travel Demand</t>
  </si>
  <si>
    <t>Total Emissions Benefit Results</t>
  </si>
  <si>
    <t>Service Life of Project (in years) (from MoSERS)</t>
  </si>
  <si>
    <t>2018 Call For Projects - Benefit-Cost Analysis Assumptions*</t>
  </si>
  <si>
    <t>Value of Emissions, USDOT Benefit-Cost Analysis Guidance for Discretionary Grant Programs</t>
  </si>
  <si>
    <t>$ /Short ton ($2017)</t>
  </si>
  <si>
    <t>Service Life of Project (years)</t>
  </si>
  <si>
    <t>Improvement Type</t>
  </si>
  <si>
    <t>Service Life of Project</t>
  </si>
  <si>
    <t>Signalization</t>
  </si>
  <si>
    <t>Intersection Improvement</t>
  </si>
  <si>
    <t>Grade Separations</t>
  </si>
  <si>
    <t>All emissions factors are in gm/hr</t>
  </si>
  <si>
    <t>Idling Emissions Factors in gm/hr</t>
  </si>
  <si>
    <t>Idle Emission Factor (gm/hr)</t>
  </si>
  <si>
    <t>NOx (Short ton/yr)</t>
  </si>
  <si>
    <t>VOC 
(Short ton/yr)</t>
  </si>
  <si>
    <t>Populated based on selection in cell "C15"</t>
  </si>
  <si>
    <t>Source</t>
  </si>
  <si>
    <t>https://moser.tti.tamu.edu/docs/Texas.Guide.to.Accepted.Mobile.Source.Emission.Reduction.Strategies_August.2007.pdf</t>
  </si>
  <si>
    <t>page A.8.9</t>
  </si>
  <si>
    <t>Average Intersection Daily Traffic Volume During Off-Peak Hours</t>
  </si>
  <si>
    <t>2018 Peak Traffic Volume at the Intersection</t>
  </si>
  <si>
    <t>Estimated 2025 Peak Traffic Volume at the Intersection</t>
  </si>
  <si>
    <t>Estimated 2045 Peak Traffic Volume at the Intersection</t>
  </si>
  <si>
    <t>Average Daily Peak Period Intersection Traffic Volume (6-9 AM + 3-7 PM) (2018)</t>
  </si>
  <si>
    <t>Grade Separations considered roadway improvements</t>
  </si>
  <si>
    <t>Discounted NOx Benefits @ 7% (2018 $)</t>
  </si>
  <si>
    <t>Discounted VOC Benefits @ 7% (2018 $)</t>
  </si>
  <si>
    <t>Discounted Emissions Benefits @ 7% (2018 $)</t>
  </si>
  <si>
    <t>Baker Road at Garth Road Intersection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</si>
</sst>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0" fillId="0" borderId="1" xfId="0" applyNumberFormat="1" applyFill="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NumberFormat="1"/>
    <xf numFmtId="0" fontId="0" fillId="7" borderId="1" xfId="0" applyFont="1" applyFill="1" applyBorder="1" applyAlignment="1">
      <alignment horizontal="center"/>
    </xf>
    <xf numFmtId="0" fontId="6" fillId="0" borderId="1" xfId="4" applyBorder="1" applyAlignment="1" applyProtection="1">
      <alignment horizontal="right" vertical="top" wrapText="1"/>
    </xf>
    <xf numFmtId="43" fontId="0" fillId="0" borderId="0" xfId="1" applyFont="1" applyBorder="1"/>
    <xf numFmtId="0" fontId="0" fillId="8" borderId="4" xfId="0" applyFont="1" applyFill="1" applyBorder="1" applyAlignment="1">
      <alignment horizontal="center"/>
    </xf>
    <xf numFmtId="0" fontId="0" fillId="0" borderId="0" xfId="0" applyBorder="1"/>
    <xf numFmtId="0" fontId="2" fillId="9" borderId="1" xfId="0" applyFont="1" applyFill="1" applyBorder="1" applyAlignment="1">
      <alignment horizontal="center" vertical="center" wrapText="1"/>
    </xf>
    <xf numFmtId="0" fontId="0" fillId="0" borderId="0" xfId="0" applyAlignment="1">
      <alignmen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7" borderId="4" xfId="0" applyFont="1" applyFill="1" applyBorder="1" applyAlignment="1">
      <alignment horizontal="center"/>
    </xf>
    <xf numFmtId="0" fontId="0" fillId="0" borderId="10" xfId="0" applyFont="1" applyFill="1" applyBorder="1" applyAlignment="1">
      <alignment horizontal="center"/>
    </xf>
    <xf numFmtId="44" fontId="9" fillId="0" borderId="0" xfId="2" applyFont="1" applyBorder="1"/>
    <xf numFmtId="43" fontId="0" fillId="0" borderId="10" xfId="1" applyFont="1" applyBorder="1"/>
    <xf numFmtId="44" fontId="9" fillId="0" borderId="6" xfId="2" applyFont="1" applyBorder="1"/>
    <xf numFmtId="43" fontId="0" fillId="0" borderId="13" xfId="1" applyFont="1" applyBorder="1"/>
    <xf numFmtId="44" fontId="0" fillId="0" borderId="3" xfId="2" applyFont="1" applyBorder="1"/>
    <xf numFmtId="43" fontId="0" fillId="0" borderId="3" xfId="1" applyNumberFormat="1" applyFont="1" applyBorder="1"/>
    <xf numFmtId="0" fontId="0" fillId="0" borderId="11" xfId="0" applyBorder="1"/>
    <xf numFmtId="0" fontId="0" fillId="0" borderId="9" xfId="0" applyBorder="1"/>
    <xf numFmtId="0" fontId="0" fillId="0" borderId="0" xfId="0" applyFill="1" applyBorder="1" applyAlignment="1" applyProtection="1">
      <alignment horizontal="left"/>
      <protection locked="0"/>
    </xf>
    <xf numFmtId="0" fontId="0" fillId="10" borderId="2" xfId="0" applyFont="1" applyFill="1" applyBorder="1" applyAlignment="1">
      <alignment horizontal="center"/>
    </xf>
    <xf numFmtId="0" fontId="0" fillId="10" borderId="13" xfId="0" applyFont="1" applyFill="1" applyBorder="1" applyAlignment="1">
      <alignment horizontal="center"/>
    </xf>
    <xf numFmtId="43" fontId="0" fillId="10" borderId="13" xfId="1" applyFont="1" applyFill="1" applyBorder="1"/>
    <xf numFmtId="43" fontId="0" fillId="10" borderId="2" xfId="1" applyFont="1" applyFill="1" applyBorder="1"/>
    <xf numFmtId="6" fontId="0" fillId="0" borderId="1" xfId="0" applyNumberFormat="1" applyBorder="1"/>
    <xf numFmtId="0" fontId="0" fillId="0" borderId="1" xfId="0" applyBorder="1" applyAlignment="1">
      <alignment horizontal="center" vertical="center"/>
    </xf>
    <xf numFmtId="0" fontId="0" fillId="0" borderId="1" xfId="0" applyFill="1" applyBorder="1" applyAlignment="1">
      <alignment vertical="center"/>
    </xf>
    <xf numFmtId="44" fontId="9" fillId="13" borderId="8" xfId="2" applyFont="1" applyFill="1" applyBorder="1"/>
    <xf numFmtId="44" fontId="0" fillId="13" borderId="3" xfId="2" applyFont="1" applyFill="1" applyBorder="1"/>
    <xf numFmtId="44" fontId="9" fillId="13" borderId="0" xfId="2" applyFont="1" applyFill="1" applyBorder="1"/>
    <xf numFmtId="44" fontId="9" fillId="13" borderId="5" xfId="2" applyFont="1" applyFill="1" applyBorder="1"/>
    <xf numFmtId="44" fontId="0" fillId="13" borderId="13" xfId="2" applyFont="1" applyFill="1" applyBorder="1"/>
    <xf numFmtId="168" fontId="0" fillId="0" borderId="6" xfId="0" applyNumberFormat="1" applyBorder="1"/>
    <xf numFmtId="168" fontId="0" fillId="0" borderId="7" xfId="0" applyNumberFormat="1" applyBorder="1"/>
    <xf numFmtId="10" fontId="0" fillId="0" borderId="0" xfId="0" applyNumberFormat="1" applyFont="1" applyFill="1" applyBorder="1" applyAlignment="1">
      <alignment horizontal="center"/>
    </xf>
    <xf numFmtId="43" fontId="0" fillId="0" borderId="0" xfId="0" applyNumberFormat="1"/>
    <xf numFmtId="6" fontId="0" fillId="0" borderId="0" xfId="0" applyNumberFormat="1" applyFill="1" applyBorder="1"/>
    <xf numFmtId="0" fontId="0" fillId="14" borderId="12" xfId="0" applyFill="1" applyBorder="1" applyAlignment="1" applyProtection="1">
      <alignment horizontal="left"/>
      <protection locked="0"/>
    </xf>
    <xf numFmtId="0" fontId="0" fillId="14" borderId="1" xfId="0" applyFill="1" applyBorder="1" applyAlignment="1" applyProtection="1"/>
    <xf numFmtId="0" fontId="0" fillId="0" borderId="1" xfId="0" applyBorder="1"/>
    <xf numFmtId="0" fontId="0" fillId="10" borderId="1" xfId="0" applyFill="1"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165" fontId="0" fillId="4" borderId="1" xfId="0" applyNumberFormat="1" applyFill="1" applyBorder="1" applyProtection="1"/>
    <xf numFmtId="43" fontId="0" fillId="4" borderId="1" xfId="1" applyFont="1" applyFill="1" applyBorder="1" applyProtection="1"/>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right"/>
      <protection locked="0"/>
    </xf>
    <xf numFmtId="0" fontId="0" fillId="0" borderId="0" xfId="0" applyFill="1" applyBorder="1" applyAlignment="1" applyProtection="1">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right"/>
      <protection locked="0"/>
    </xf>
    <xf numFmtId="10" fontId="0" fillId="0" borderId="0" xfId="0" applyNumberFormat="1" applyProtection="1">
      <protection locked="0"/>
    </xf>
    <xf numFmtId="0" fontId="2" fillId="5" borderId="1" xfId="0" applyFont="1" applyFill="1" applyBorder="1" applyProtection="1">
      <protection locked="0"/>
    </xf>
    <xf numFmtId="165" fontId="0" fillId="0" borderId="0" xfId="0" applyNumberForma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0" fontId="0" fillId="0" borderId="0" xfId="0" applyFill="1" applyBorder="1" applyAlignment="1" applyProtection="1">
      <alignment horizontal="right"/>
      <protection locked="0"/>
    </xf>
    <xf numFmtId="0" fontId="0" fillId="2" borderId="1" xfId="0" quotePrefix="1" applyFill="1" applyBorder="1" applyAlignment="1" applyProtection="1">
      <alignment horizontal="right"/>
      <protection locked="0"/>
    </xf>
    <xf numFmtId="2" fontId="0" fillId="0" borderId="0" xfId="0" applyNumberFormat="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47</xdr:row>
      <xdr:rowOff>14654</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31885" y="161191"/>
          <a:ext cx="8902211" cy="8806963"/>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endParaRPr lang="en-US" sz="1200">
            <a:solidFill>
              <a:schemeClr val="bg1"/>
            </a:solidFill>
            <a:effectLst/>
            <a:latin typeface="+mn-lt"/>
            <a:ea typeface="+mn-ea"/>
            <a:cs typeface="+mn-cs"/>
          </a:endParaRPr>
        </a:p>
        <a:p>
          <a:pPr lvl="0">
            <a:lnSpc>
              <a:spcPct val="150000"/>
            </a:lnSpc>
          </a:pPr>
          <a:endParaRPr lang="en-US" sz="11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intersection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Service life of project will be populated based on the intersection improvement selected in cell B15</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Before Implementation: Please enter average vehicle delay in hours at the intersection in cell B16.  If the proposed project includes multiple intersections, please enter sum total of vehicle delay at all intersections before implementation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After Implementation: Please enter average vehicle delay in hours at the intersection in cell B17.  If the proposed project includes multiple intersections please enter sum total of vehicle delay at all intersections after implementation</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Daily Peak Period Intersection Traffic Volume (6-9 AM + 3-7 PM) (2018) : Please enter the peak period traffic volume at the intersection in cell B21</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Intersection Traffic Volume During Off-Peak Hours: Please enter the average daily off-peak hour traffic</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volume at the intersection in cell B22</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Traffic Volume at the Intersection: Please enter 2018 Peak Period traffic  Volume at the Intersection in cell B24. </a:t>
          </a:r>
          <a:r>
            <a:rPr lang="en-US" sz="1100" baseline="0">
              <a:solidFill>
                <a:schemeClr val="bg1"/>
              </a:solidFill>
              <a:effectLst/>
              <a:latin typeface="+mn-lt"/>
              <a:ea typeface="+mn-ea"/>
              <a:cs typeface="+mn-cs"/>
            </a:rPr>
            <a:t>Sponsors may choose </a:t>
          </a:r>
          <a:r>
            <a:rPr lang="en-US" sz="1100">
              <a:solidFill>
                <a:schemeClr val="bg1"/>
              </a:solidFill>
              <a:effectLst/>
              <a:latin typeface="+mn-lt"/>
              <a:ea typeface="+mn-ea"/>
              <a:cs typeface="+mn-cs"/>
            </a:rPr>
            <a:t>the latest traffic count data available form TxDOT’s traffic count data, or conduct</a:t>
          </a:r>
          <a:r>
            <a:rPr lang="en-US" sz="1100" baseline="0">
              <a:solidFill>
                <a:schemeClr val="bg1"/>
              </a:solidFill>
              <a:effectLst/>
              <a:latin typeface="+mn-lt"/>
              <a:ea typeface="+mn-ea"/>
              <a:cs typeface="+mn-cs"/>
            </a:rPr>
            <a:t> field traffic count</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Estimated 2025 Peak Traffic Volume at the Intersection: Please enter estimated 2025 Peak Period volume at the intersection in cell B25.  </a:t>
          </a:r>
          <a:r>
            <a:rPr lang="en-US" sz="1100" baseline="0">
              <a:solidFill>
                <a:schemeClr val="bg1"/>
              </a:solidFill>
              <a:effectLst/>
              <a:latin typeface="+mn-lt"/>
              <a:ea typeface="+mn-ea"/>
              <a:cs typeface="+mn-cs"/>
            </a:rPr>
            <a:t>Sponsors may choose to estimate the 2025 peak period intersection traffic volume or may request HGAC's assistance in estimating the 2025 peak period intersection traffic volume</a:t>
          </a:r>
          <a:endParaRPr lang="en-US" sz="12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Estimated 2045 Peak Traffic Volume at the Intersection: Please enter estimated 2045 Peak Period traffic volume at the intersection in cell B26.</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Sponsors may choose to estimate the 2045 peak period intersection traffic volume or may request HGAC's assistance in estimating the 2025 peak period intersection traffic volume</a:t>
          </a:r>
          <a:endParaRPr lang="en-US" sz="1100">
            <a:solidFill>
              <a:schemeClr val="bg1"/>
            </a:solidFill>
            <a:effectLst/>
          </a:endParaRPr>
        </a:p>
        <a:p>
          <a:pPr marL="1085850" lvl="2" indent="-171450">
            <a:lnSpc>
              <a:spcPct val="150000"/>
            </a:lnSpc>
            <a:buFont typeface="Arial" panose="020B0604020202020204" pitchFamily="34" charset="0"/>
            <a:buChar char="•"/>
          </a:pP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2. Results will be populated in "red" shaded section ("Benefit Results")</a:t>
          </a:r>
          <a:endParaRPr lang="en-US" sz="1200">
            <a:solidFill>
              <a:schemeClr val="bg1"/>
            </a:solidFill>
            <a:effectLst/>
            <a:latin typeface="+mn-lt"/>
            <a:ea typeface="+mn-ea"/>
            <a:cs typeface="+mn-cs"/>
          </a:endParaRP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17</xdr:row>
      <xdr:rowOff>38100</xdr:rowOff>
    </xdr:from>
    <xdr:to>
      <xdr:col>2</xdr:col>
      <xdr:colOff>1400175</xdr:colOff>
      <xdr:row>22</xdr:row>
      <xdr:rowOff>38100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0" y="4229100"/>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7"/>
  <sheetViews>
    <sheetView zoomScaleNormal="100" workbookViewId="0">
      <selection activeCell="J28" sqref="J2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6">
        <v>2015</v>
      </c>
      <c r="G4" s="12">
        <f>E4</f>
        <v>2015</v>
      </c>
      <c r="H4" s="12">
        <f>IF(G4&lt;2041,1,0)</f>
        <v>1</v>
      </c>
      <c r="I4" s="21">
        <f>IF($G4&lt;($G$4+$E$5),$E$17,0)*H4</f>
        <v>0</v>
      </c>
      <c r="J4" s="35"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2" t="e">
        <f t="shared" ref="J5:J24" si="3">I5*$B$18*$B$19/10^3</f>
        <v>#REF!</v>
      </c>
    </row>
    <row r="6" spans="1:10" x14ac:dyDescent="0.25">
      <c r="A6" s="5" t="s">
        <v>10</v>
      </c>
      <c r="B6" s="6">
        <v>1</v>
      </c>
      <c r="D6" s="123" t="s">
        <v>32</v>
      </c>
      <c r="E6" s="124"/>
      <c r="G6" s="12">
        <f t="shared" si="0"/>
        <v>2017</v>
      </c>
      <c r="H6" s="12">
        <f t="shared" si="1"/>
        <v>1</v>
      </c>
      <c r="I6" s="21">
        <f t="shared" si="2"/>
        <v>0</v>
      </c>
      <c r="J6" s="35" t="e">
        <f t="shared" si="3"/>
        <v>#REF!</v>
      </c>
    </row>
    <row r="7" spans="1:10" x14ac:dyDescent="0.25">
      <c r="A7" s="5" t="s">
        <v>45</v>
      </c>
      <c r="B7" s="23"/>
      <c r="D7" s="5" t="s">
        <v>42</v>
      </c>
      <c r="E7" s="9"/>
      <c r="G7" s="13">
        <f t="shared" si="0"/>
        <v>2018</v>
      </c>
      <c r="H7" s="13">
        <f t="shared" si="1"/>
        <v>1</v>
      </c>
      <c r="I7" s="21">
        <f t="shared" si="2"/>
        <v>0</v>
      </c>
      <c r="J7" s="42" t="e">
        <f t="shared" si="3"/>
        <v>#REF!</v>
      </c>
    </row>
    <row r="8" spans="1:10" x14ac:dyDescent="0.25">
      <c r="A8" s="22" t="s">
        <v>46</v>
      </c>
      <c r="B8" s="23"/>
      <c r="D8" s="5" t="s">
        <v>40</v>
      </c>
      <c r="E8" s="45">
        <v>1.1499999999999999</v>
      </c>
      <c r="G8" s="12">
        <f t="shared" si="0"/>
        <v>2019</v>
      </c>
      <c r="H8" s="12">
        <f t="shared" si="1"/>
        <v>1</v>
      </c>
      <c r="I8" s="21">
        <f t="shared" si="2"/>
        <v>0</v>
      </c>
      <c r="J8" s="35" t="e">
        <f t="shared" si="3"/>
        <v>#REF!</v>
      </c>
    </row>
    <row r="9" spans="1:10" x14ac:dyDescent="0.25">
      <c r="G9" s="13">
        <f t="shared" si="0"/>
        <v>2020</v>
      </c>
      <c r="H9" s="13">
        <f t="shared" si="1"/>
        <v>1</v>
      </c>
      <c r="I9" s="21">
        <f t="shared" si="2"/>
        <v>0</v>
      </c>
      <c r="J9" s="42" t="e">
        <f t="shared" si="3"/>
        <v>#REF!</v>
      </c>
    </row>
    <row r="10" spans="1:10" x14ac:dyDescent="0.25">
      <c r="A10" s="11" t="s">
        <v>20</v>
      </c>
      <c r="G10" s="12">
        <f t="shared" si="0"/>
        <v>2021</v>
      </c>
      <c r="H10" s="12">
        <f t="shared" si="1"/>
        <v>1</v>
      </c>
      <c r="I10" s="21">
        <f t="shared" si="2"/>
        <v>0</v>
      </c>
      <c r="J10" s="35" t="e">
        <f t="shared" si="3"/>
        <v>#REF!</v>
      </c>
    </row>
    <row r="11" spans="1:10" x14ac:dyDescent="0.25">
      <c r="A11" s="10" t="s">
        <v>43</v>
      </c>
      <c r="B11" s="43" t="e">
        <f>NPV($B$17,J4:J29)/(1+$B$17)^(E4-B16+1)</f>
        <v>#REF!</v>
      </c>
      <c r="G11" s="13">
        <f t="shared" si="0"/>
        <v>2022</v>
      </c>
      <c r="H11" s="13">
        <f t="shared" si="1"/>
        <v>1</v>
      </c>
      <c r="I11" s="21">
        <f t="shared" si="2"/>
        <v>0</v>
      </c>
      <c r="J11" s="42" t="e">
        <f t="shared" si="3"/>
        <v>#REF!</v>
      </c>
    </row>
    <row r="12" spans="1:10" x14ac:dyDescent="0.25">
      <c r="A12" s="10" t="s">
        <v>19</v>
      </c>
      <c r="B12" s="41" t="e">
        <f>B11/B7</f>
        <v>#REF!</v>
      </c>
      <c r="G12" s="12">
        <f t="shared" si="0"/>
        <v>2023</v>
      </c>
      <c r="H12" s="12">
        <f t="shared" si="1"/>
        <v>1</v>
      </c>
      <c r="I12" s="21">
        <f t="shared" si="2"/>
        <v>0</v>
      </c>
      <c r="J12" s="35" t="e">
        <f t="shared" si="3"/>
        <v>#REF!</v>
      </c>
    </row>
    <row r="13" spans="1:10" x14ac:dyDescent="0.25">
      <c r="G13" s="13">
        <f t="shared" si="0"/>
        <v>2024</v>
      </c>
      <c r="H13" s="13">
        <f t="shared" si="1"/>
        <v>1</v>
      </c>
      <c r="I13" s="21">
        <f t="shared" si="2"/>
        <v>0</v>
      </c>
      <c r="J13" s="42" t="e">
        <f t="shared" si="3"/>
        <v>#REF!</v>
      </c>
    </row>
    <row r="14" spans="1:10" x14ac:dyDescent="0.25">
      <c r="G14" s="12">
        <f>G13+1</f>
        <v>2025</v>
      </c>
      <c r="H14" s="12">
        <f t="shared" si="1"/>
        <v>1</v>
      </c>
      <c r="I14" s="21">
        <f t="shared" si="2"/>
        <v>0</v>
      </c>
      <c r="J14" s="35" t="e">
        <f t="shared" si="3"/>
        <v>#REF!</v>
      </c>
    </row>
    <row r="15" spans="1:10" x14ac:dyDescent="0.25">
      <c r="A15" s="15" t="s">
        <v>4</v>
      </c>
      <c r="G15" s="13">
        <f t="shared" si="0"/>
        <v>2026</v>
      </c>
      <c r="H15" s="13">
        <f t="shared" si="1"/>
        <v>1</v>
      </c>
      <c r="I15" s="21">
        <f t="shared" si="2"/>
        <v>0</v>
      </c>
      <c r="J15" s="42" t="e">
        <f t="shared" si="3"/>
        <v>#REF!</v>
      </c>
    </row>
    <row r="16" spans="1:10" x14ac:dyDescent="0.25">
      <c r="A16" s="16" t="s">
        <v>5</v>
      </c>
      <c r="B16" s="26">
        <f>'Assumed Values'!C5</f>
        <v>2018</v>
      </c>
      <c r="D16" s="15" t="s">
        <v>17</v>
      </c>
      <c r="E16" s="24" t="s">
        <v>12</v>
      </c>
      <c r="G16" s="12">
        <f t="shared" si="0"/>
        <v>2027</v>
      </c>
      <c r="H16" s="12">
        <f t="shared" si="1"/>
        <v>1</v>
      </c>
      <c r="I16" s="21">
        <f t="shared" si="2"/>
        <v>0</v>
      </c>
      <c r="J16" s="35" t="e">
        <f t="shared" si="3"/>
        <v>#REF!</v>
      </c>
    </row>
    <row r="17" spans="1:10" x14ac:dyDescent="0.25">
      <c r="A17" s="16" t="s">
        <v>6</v>
      </c>
      <c r="B17" s="17">
        <f>'Assumed Values'!C6</f>
        <v>7.0000000000000007E-2</v>
      </c>
      <c r="D17" s="19" t="s">
        <v>41</v>
      </c>
      <c r="E17" s="20">
        <f>E7/E8</f>
        <v>0</v>
      </c>
      <c r="G17" s="13">
        <f t="shared" si="0"/>
        <v>2028</v>
      </c>
      <c r="H17" s="13">
        <f t="shared" si="1"/>
        <v>1</v>
      </c>
      <c r="I17" s="21">
        <f t="shared" si="2"/>
        <v>0</v>
      </c>
      <c r="J17" s="42" t="e">
        <f t="shared" si="3"/>
        <v>#REF!</v>
      </c>
    </row>
    <row r="18" spans="1:10" x14ac:dyDescent="0.25">
      <c r="A18" s="16" t="s">
        <v>7</v>
      </c>
      <c r="B18" s="16">
        <f>IF(B6=2,2.1, 1.1)</f>
        <v>1.1000000000000001</v>
      </c>
      <c r="G18" s="12">
        <f t="shared" si="0"/>
        <v>2029</v>
      </c>
      <c r="H18" s="12">
        <f t="shared" si="1"/>
        <v>1</v>
      </c>
      <c r="I18" s="21">
        <f t="shared" si="2"/>
        <v>0</v>
      </c>
      <c r="J18" s="35" t="e">
        <f t="shared" si="3"/>
        <v>#REF!</v>
      </c>
    </row>
    <row r="19" spans="1:10" x14ac:dyDescent="0.25">
      <c r="A19" s="16" t="s">
        <v>11</v>
      </c>
      <c r="B19" s="18" t="e">
        <f>'Assumed Values'!#REF!</f>
        <v>#REF!</v>
      </c>
      <c r="G19" s="13">
        <f t="shared" si="0"/>
        <v>2030</v>
      </c>
      <c r="H19" s="13">
        <f t="shared" si="1"/>
        <v>1</v>
      </c>
      <c r="I19" s="21">
        <f t="shared" si="2"/>
        <v>0</v>
      </c>
      <c r="J19" s="42" t="e">
        <f t="shared" si="3"/>
        <v>#REF!</v>
      </c>
    </row>
    <row r="20" spans="1:10" x14ac:dyDescent="0.25">
      <c r="A20" s="16" t="s">
        <v>18</v>
      </c>
      <c r="B20" s="16">
        <v>260</v>
      </c>
      <c r="G20" s="12">
        <f t="shared" si="0"/>
        <v>2031</v>
      </c>
      <c r="H20" s="12">
        <f t="shared" si="1"/>
        <v>1</v>
      </c>
      <c r="I20" s="21">
        <f t="shared" si="2"/>
        <v>0</v>
      </c>
      <c r="J20" s="35" t="e">
        <f t="shared" si="3"/>
        <v>#REF!</v>
      </c>
    </row>
    <row r="21" spans="1:10" x14ac:dyDescent="0.25">
      <c r="G21" s="13">
        <f t="shared" si="0"/>
        <v>2032</v>
      </c>
      <c r="H21" s="13">
        <f t="shared" si="1"/>
        <v>1</v>
      </c>
      <c r="I21" s="21">
        <f t="shared" si="2"/>
        <v>0</v>
      </c>
      <c r="J21" s="42" t="e">
        <f t="shared" si="3"/>
        <v>#REF!</v>
      </c>
    </row>
    <row r="22" spans="1:10" x14ac:dyDescent="0.25">
      <c r="G22" s="12">
        <f t="shared" si="0"/>
        <v>2033</v>
      </c>
      <c r="H22" s="12">
        <f t="shared" si="1"/>
        <v>1</v>
      </c>
      <c r="I22" s="21">
        <f t="shared" si="2"/>
        <v>0</v>
      </c>
      <c r="J22" s="35" t="e">
        <f t="shared" si="3"/>
        <v>#REF!</v>
      </c>
    </row>
    <row r="23" spans="1:10" x14ac:dyDescent="0.25">
      <c r="G23" s="13">
        <f t="shared" si="0"/>
        <v>2034</v>
      </c>
      <c r="H23" s="13">
        <f t="shared" si="1"/>
        <v>1</v>
      </c>
      <c r="I23" s="21">
        <f t="shared" si="2"/>
        <v>0</v>
      </c>
      <c r="J23" s="42" t="e">
        <f t="shared" si="3"/>
        <v>#REF!</v>
      </c>
    </row>
    <row r="24" spans="1:10" x14ac:dyDescent="0.25">
      <c r="G24" s="12">
        <f t="shared" si="0"/>
        <v>2035</v>
      </c>
      <c r="H24" s="12">
        <f t="shared" si="1"/>
        <v>1</v>
      </c>
      <c r="I24" s="21">
        <f t="shared" si="2"/>
        <v>0</v>
      </c>
      <c r="J24" s="35" t="e">
        <f t="shared" si="3"/>
        <v>#REF!</v>
      </c>
    </row>
    <row r="25" spans="1:10" x14ac:dyDescent="0.25">
      <c r="G25" s="13">
        <f t="shared" si="0"/>
        <v>2036</v>
      </c>
      <c r="H25" s="13">
        <f t="shared" si="1"/>
        <v>1</v>
      </c>
      <c r="I25" s="21">
        <f t="shared" si="2"/>
        <v>0</v>
      </c>
      <c r="J25" s="42" t="e">
        <f t="shared" ref="J25:J29" si="4">I25*$B$18*$B$19/10^3</f>
        <v>#REF!</v>
      </c>
    </row>
    <row r="26" spans="1:10" x14ac:dyDescent="0.25">
      <c r="G26" s="12">
        <f t="shared" si="0"/>
        <v>2037</v>
      </c>
      <c r="H26" s="12">
        <f t="shared" si="1"/>
        <v>1</v>
      </c>
      <c r="I26" s="21">
        <f t="shared" si="2"/>
        <v>0</v>
      </c>
      <c r="J26" s="35" t="e">
        <f t="shared" si="4"/>
        <v>#REF!</v>
      </c>
    </row>
    <row r="27" spans="1:10" x14ac:dyDescent="0.25">
      <c r="G27" s="13">
        <f t="shared" si="0"/>
        <v>2038</v>
      </c>
      <c r="H27" s="13">
        <f t="shared" si="1"/>
        <v>1</v>
      </c>
      <c r="I27" s="21">
        <f t="shared" si="2"/>
        <v>0</v>
      </c>
      <c r="J27" s="42" t="e">
        <f t="shared" si="4"/>
        <v>#REF!</v>
      </c>
    </row>
    <row r="28" spans="1:10" x14ac:dyDescent="0.25">
      <c r="G28" s="12">
        <f t="shared" si="0"/>
        <v>2039</v>
      </c>
      <c r="H28" s="12">
        <f t="shared" si="1"/>
        <v>1</v>
      </c>
      <c r="I28" s="21">
        <f t="shared" si="2"/>
        <v>0</v>
      </c>
      <c r="J28" s="35" t="e">
        <f t="shared" si="4"/>
        <v>#REF!</v>
      </c>
    </row>
    <row r="29" spans="1:10" x14ac:dyDescent="0.25">
      <c r="A29" s="25"/>
      <c r="G29" s="13">
        <f t="shared" si="0"/>
        <v>2040</v>
      </c>
      <c r="H29" s="13">
        <f t="shared" si="1"/>
        <v>1</v>
      </c>
      <c r="I29" s="21">
        <f t="shared" si="2"/>
        <v>0</v>
      </c>
      <c r="J29" s="42"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6">
        <v>2015</v>
      </c>
      <c r="G4" s="12">
        <f>E4</f>
        <v>2015</v>
      </c>
      <c r="H4" s="38" t="e">
        <f t="shared" ref="H4:H24" si="0">IF($G4&lt;($G$4+$E$5),$E$17,0)</f>
        <v>#REF!</v>
      </c>
      <c r="I4" s="37" t="e">
        <f>H4*$B$20/10^3</f>
        <v>#REF!</v>
      </c>
      <c r="J4" s="38" t="e">
        <f t="shared" ref="J4:J24" si="1">IF($G4&lt;($G$4+$E$5),$E$18,0)</f>
        <v>#REF!</v>
      </c>
      <c r="K4" s="37" t="e">
        <f>J4*$B$21/10^3</f>
        <v>#REF!</v>
      </c>
    </row>
    <row r="5" spans="1:11" x14ac:dyDescent="0.25">
      <c r="A5" s="5" t="s">
        <v>9</v>
      </c>
      <c r="B5" s="6"/>
      <c r="D5" s="5" t="s">
        <v>34</v>
      </c>
      <c r="E5" s="9">
        <v>10</v>
      </c>
      <c r="G5" s="13">
        <f t="shared" ref="G5:G29" si="2">G4+1</f>
        <v>2016</v>
      </c>
      <c r="H5" s="38" t="e">
        <f t="shared" si="0"/>
        <v>#REF!</v>
      </c>
      <c r="I5" s="39" t="e">
        <f t="shared" ref="I5:I24" si="3">H5*$B$20/10^3</f>
        <v>#REF!</v>
      </c>
      <c r="J5" s="38" t="e">
        <f t="shared" si="1"/>
        <v>#REF!</v>
      </c>
      <c r="K5" s="39" t="e">
        <f t="shared" ref="K5:K24" si="4">J5*$B$21/10^3</f>
        <v>#REF!</v>
      </c>
    </row>
    <row r="6" spans="1:11" x14ac:dyDescent="0.25">
      <c r="A6" s="5" t="s">
        <v>35</v>
      </c>
      <c r="B6" s="6">
        <v>2</v>
      </c>
      <c r="D6" s="123" t="s">
        <v>32</v>
      </c>
      <c r="E6" s="124"/>
      <c r="G6" s="12">
        <f t="shared" si="2"/>
        <v>2017</v>
      </c>
      <c r="H6" s="38" t="e">
        <f t="shared" si="0"/>
        <v>#REF!</v>
      </c>
      <c r="I6" s="37" t="e">
        <f t="shared" si="3"/>
        <v>#REF!</v>
      </c>
      <c r="J6" s="38" t="e">
        <f t="shared" si="1"/>
        <v>#REF!</v>
      </c>
      <c r="K6" s="37" t="e">
        <f t="shared" si="4"/>
        <v>#REF!</v>
      </c>
    </row>
    <row r="7" spans="1:11" x14ac:dyDescent="0.25">
      <c r="A7" s="5" t="s">
        <v>45</v>
      </c>
      <c r="B7" s="23"/>
      <c r="D7" s="5" t="s">
        <v>31</v>
      </c>
      <c r="E7" s="9"/>
      <c r="G7" s="13">
        <f t="shared" si="2"/>
        <v>2018</v>
      </c>
      <c r="H7" s="38" t="e">
        <f t="shared" si="0"/>
        <v>#REF!</v>
      </c>
      <c r="I7" s="39" t="e">
        <f t="shared" si="3"/>
        <v>#REF!</v>
      </c>
      <c r="J7" s="38" t="e">
        <f t="shared" si="1"/>
        <v>#REF!</v>
      </c>
      <c r="K7" s="39" t="e">
        <f t="shared" si="4"/>
        <v>#REF!</v>
      </c>
    </row>
    <row r="8" spans="1:11" x14ac:dyDescent="0.25">
      <c r="A8" s="22" t="s">
        <v>46</v>
      </c>
      <c r="B8" s="23"/>
      <c r="D8" s="123" t="s">
        <v>33</v>
      </c>
      <c r="E8" s="124"/>
      <c r="G8" s="12">
        <f t="shared" si="2"/>
        <v>2019</v>
      </c>
      <c r="H8" s="38" t="e">
        <f t="shared" si="0"/>
        <v>#REF!</v>
      </c>
      <c r="I8" s="37" t="e">
        <f t="shared" si="3"/>
        <v>#REF!</v>
      </c>
      <c r="J8" s="38" t="e">
        <f t="shared" si="1"/>
        <v>#REF!</v>
      </c>
      <c r="K8" s="37" t="e">
        <f t="shared" si="4"/>
        <v>#REF!</v>
      </c>
    </row>
    <row r="9" spans="1:11" x14ac:dyDescent="0.25">
      <c r="D9" s="5" t="s">
        <v>36</v>
      </c>
      <c r="E9" s="9"/>
      <c r="G9" s="13">
        <f t="shared" si="2"/>
        <v>2020</v>
      </c>
      <c r="H9" s="38" t="e">
        <f t="shared" si="0"/>
        <v>#REF!</v>
      </c>
      <c r="I9" s="39" t="e">
        <f t="shared" si="3"/>
        <v>#REF!</v>
      </c>
      <c r="J9" s="38" t="e">
        <f t="shared" si="1"/>
        <v>#REF!</v>
      </c>
      <c r="K9" s="39" t="e">
        <f t="shared" si="4"/>
        <v>#REF!</v>
      </c>
    </row>
    <row r="10" spans="1:11" x14ac:dyDescent="0.25">
      <c r="A10" s="11" t="s">
        <v>20</v>
      </c>
      <c r="D10" s="5" t="s">
        <v>37</v>
      </c>
      <c r="E10" s="9"/>
      <c r="G10" s="12">
        <f t="shared" si="2"/>
        <v>2021</v>
      </c>
      <c r="H10" s="38" t="e">
        <f t="shared" si="0"/>
        <v>#REF!</v>
      </c>
      <c r="I10" s="37" t="e">
        <f t="shared" si="3"/>
        <v>#REF!</v>
      </c>
      <c r="J10" s="38" t="e">
        <f t="shared" si="1"/>
        <v>#REF!</v>
      </c>
      <c r="K10" s="37" t="e">
        <f t="shared" si="4"/>
        <v>#REF!</v>
      </c>
    </row>
    <row r="11" spans="1:11" x14ac:dyDescent="0.25">
      <c r="A11" s="10" t="s">
        <v>50</v>
      </c>
      <c r="B11" s="40" t="e">
        <f>(NPV($B$17,K4:K24)+NPV($B$17,I4:I24))/(1+$B$17)^2</f>
        <v>#REF!</v>
      </c>
      <c r="G11" s="13">
        <f t="shared" si="2"/>
        <v>2022</v>
      </c>
      <c r="H11" s="38" t="e">
        <f t="shared" si="0"/>
        <v>#REF!</v>
      </c>
      <c r="I11" s="39" t="e">
        <f t="shared" si="3"/>
        <v>#REF!</v>
      </c>
      <c r="J11" s="38" t="e">
        <f t="shared" si="1"/>
        <v>#REF!</v>
      </c>
      <c r="K11" s="39" t="e">
        <f t="shared" si="4"/>
        <v>#REF!</v>
      </c>
    </row>
    <row r="12" spans="1:11" x14ac:dyDescent="0.25">
      <c r="A12" s="10" t="s">
        <v>19</v>
      </c>
      <c r="B12" s="41" t="e">
        <f>B11/B7</f>
        <v>#REF!</v>
      </c>
      <c r="G12" s="12">
        <f t="shared" si="2"/>
        <v>2023</v>
      </c>
      <c r="H12" s="38" t="e">
        <f t="shared" si="0"/>
        <v>#REF!</v>
      </c>
      <c r="I12" s="37" t="e">
        <f t="shared" si="3"/>
        <v>#REF!</v>
      </c>
      <c r="J12" s="38" t="e">
        <f t="shared" si="1"/>
        <v>#REF!</v>
      </c>
      <c r="K12" s="37" t="e">
        <f t="shared" si="4"/>
        <v>#REF!</v>
      </c>
    </row>
    <row r="13" spans="1:11" x14ac:dyDescent="0.25">
      <c r="A13" s="10" t="s">
        <v>51</v>
      </c>
      <c r="B13" s="40" t="e">
        <f>B7*(B17/(1-(1+B17)^(-E5))/(SUM(H4:H29)+SUM(J4:J29)))</f>
        <v>#REF!</v>
      </c>
      <c r="G13" s="13">
        <f t="shared" si="2"/>
        <v>2024</v>
      </c>
      <c r="H13" s="38" t="e">
        <f t="shared" si="0"/>
        <v>#REF!</v>
      </c>
      <c r="I13" s="39" t="e">
        <f t="shared" si="3"/>
        <v>#REF!</v>
      </c>
      <c r="J13" s="38" t="e">
        <f t="shared" si="1"/>
        <v>#REF!</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4</v>
      </c>
      <c r="G15" s="13">
        <f t="shared" si="2"/>
        <v>2026</v>
      </c>
      <c r="H15" s="38">
        <f t="shared" si="0"/>
        <v>0</v>
      </c>
      <c r="I15" s="39" t="e">
        <f t="shared" si="3"/>
        <v>#REF!</v>
      </c>
      <c r="J15" s="38">
        <f t="shared" si="1"/>
        <v>0</v>
      </c>
      <c r="K15" s="39" t="e">
        <f t="shared" si="4"/>
        <v>#REF!</v>
      </c>
    </row>
    <row r="16" spans="1:11" x14ac:dyDescent="0.25">
      <c r="A16" s="16" t="s">
        <v>5</v>
      </c>
      <c r="B16" s="26">
        <v>2015</v>
      </c>
      <c r="D16" s="15" t="s">
        <v>17</v>
      </c>
      <c r="E16" s="24" t="s">
        <v>12</v>
      </c>
      <c r="G16" s="12">
        <f t="shared" si="2"/>
        <v>2027</v>
      </c>
      <c r="H16" s="38">
        <f t="shared" si="0"/>
        <v>0</v>
      </c>
      <c r="I16" s="37" t="e">
        <f t="shared" si="3"/>
        <v>#REF!</v>
      </c>
      <c r="J16" s="38">
        <f t="shared" si="1"/>
        <v>0</v>
      </c>
      <c r="K16" s="37" t="e">
        <f t="shared" si="4"/>
        <v>#REF!</v>
      </c>
    </row>
    <row r="17" spans="1:11" x14ac:dyDescent="0.25">
      <c r="A17" s="16" t="s">
        <v>6</v>
      </c>
      <c r="B17" s="17">
        <v>7.0000000000000007E-2</v>
      </c>
      <c r="D17" s="19" t="s">
        <v>36</v>
      </c>
      <c r="E17" s="34" t="e">
        <f>IF(E9,E9,$E$7*B18*$B$22/10^6)</f>
        <v>#REF!</v>
      </c>
      <c r="G17" s="13">
        <f t="shared" si="2"/>
        <v>2028</v>
      </c>
      <c r="H17" s="38">
        <f t="shared" si="0"/>
        <v>0</v>
      </c>
      <c r="I17" s="39" t="e">
        <f t="shared" si="3"/>
        <v>#REF!</v>
      </c>
      <c r="J17" s="38">
        <f t="shared" si="1"/>
        <v>0</v>
      </c>
      <c r="K17" s="39" t="e">
        <f t="shared" si="4"/>
        <v>#REF!</v>
      </c>
    </row>
    <row r="18" spans="1:11" x14ac:dyDescent="0.25">
      <c r="A18" s="16" t="s">
        <v>28</v>
      </c>
      <c r="B18" s="44" t="e">
        <f>IF($B$6=2,'Assumed Values'!#REF!,0)</f>
        <v>#REF!</v>
      </c>
      <c r="D18" s="19" t="s">
        <v>37</v>
      </c>
      <c r="E18" s="34" t="e">
        <f>IF(E10,E10,$E$7*B19*$B$22/10^6)</f>
        <v>#REF!</v>
      </c>
      <c r="G18" s="12">
        <f t="shared" si="2"/>
        <v>2029</v>
      </c>
      <c r="H18" s="38">
        <f t="shared" si="0"/>
        <v>0</v>
      </c>
      <c r="I18" s="37" t="e">
        <f t="shared" si="3"/>
        <v>#REF!</v>
      </c>
      <c r="J18" s="38">
        <f t="shared" si="1"/>
        <v>0</v>
      </c>
      <c r="K18" s="37" t="e">
        <f t="shared" si="4"/>
        <v>#REF!</v>
      </c>
    </row>
    <row r="19" spans="1:11" x14ac:dyDescent="0.25">
      <c r="A19" s="16" t="s">
        <v>29</v>
      </c>
      <c r="B19" s="44" t="e">
        <f>IF($B$6=2,'Assumed Values'!#REF!,0)</f>
        <v>#REF!</v>
      </c>
      <c r="G19" s="13">
        <f t="shared" si="2"/>
        <v>2030</v>
      </c>
      <c r="H19" s="38">
        <f t="shared" si="0"/>
        <v>0</v>
      </c>
      <c r="I19" s="39" t="e">
        <f t="shared" si="3"/>
        <v>#REF!</v>
      </c>
      <c r="J19" s="38">
        <f t="shared" si="1"/>
        <v>0</v>
      </c>
      <c r="K19" s="39" t="e">
        <f t="shared" si="4"/>
        <v>#REF!</v>
      </c>
    </row>
    <row r="20" spans="1:11" x14ac:dyDescent="0.25">
      <c r="A20" s="16" t="s">
        <v>52</v>
      </c>
      <c r="B20" s="36" t="e">
        <f>'Assumed Values'!#REF!</f>
        <v>#REF!</v>
      </c>
      <c r="G20" s="12">
        <f t="shared" si="2"/>
        <v>2031</v>
      </c>
      <c r="H20" s="38">
        <f t="shared" si="0"/>
        <v>0</v>
      </c>
      <c r="I20" s="37" t="e">
        <f t="shared" si="3"/>
        <v>#REF!</v>
      </c>
      <c r="J20" s="38">
        <f t="shared" si="1"/>
        <v>0</v>
      </c>
      <c r="K20" s="37" t="e">
        <f t="shared" si="4"/>
        <v>#REF!</v>
      </c>
    </row>
    <row r="21" spans="1:11" x14ac:dyDescent="0.25">
      <c r="A21" s="16" t="s">
        <v>53</v>
      </c>
      <c r="B21" s="36" t="e">
        <f>'Assumed Values'!#REF!</f>
        <v>#REF!</v>
      </c>
      <c r="G21" s="13">
        <f t="shared" si="2"/>
        <v>2032</v>
      </c>
      <c r="H21" s="38">
        <f t="shared" si="0"/>
        <v>0</v>
      </c>
      <c r="I21" s="39" t="e">
        <f t="shared" si="3"/>
        <v>#REF!</v>
      </c>
      <c r="J21" s="38">
        <f t="shared" si="1"/>
        <v>0</v>
      </c>
      <c r="K21" s="39" t="e">
        <f t="shared" si="4"/>
        <v>#REF!</v>
      </c>
    </row>
    <row r="22" spans="1:11" x14ac:dyDescent="0.25">
      <c r="A22" s="16" t="s">
        <v>18</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L43"/>
  <sheetViews>
    <sheetView tabSelected="1" zoomScale="115" zoomScaleNormal="115" workbookViewId="0">
      <selection activeCell="B27" sqref="B27"/>
    </sheetView>
  </sheetViews>
  <sheetFormatPr defaultRowHeight="15" x14ac:dyDescent="0.25"/>
  <cols>
    <col min="1" max="1" width="53.85546875" style="96" customWidth="1"/>
    <col min="2" max="2" width="12.85546875" style="96" customWidth="1"/>
    <col min="3" max="3" width="5.28515625" style="96" customWidth="1"/>
    <col min="4" max="4" width="5.42578125" style="96" customWidth="1"/>
    <col min="5" max="16384" width="9.140625" style="96"/>
  </cols>
  <sheetData>
    <row r="3" spans="1:5" ht="18.75" x14ac:dyDescent="0.3">
      <c r="A3" s="99" t="s">
        <v>57</v>
      </c>
      <c r="B3" s="100"/>
      <c r="C3" s="100"/>
    </row>
    <row r="5" spans="1:5" ht="30" customHeight="1" x14ac:dyDescent="0.25">
      <c r="A5" s="101" t="s">
        <v>3</v>
      </c>
    </row>
    <row r="6" spans="1:5" x14ac:dyDescent="0.25">
      <c r="A6" s="102" t="s">
        <v>8</v>
      </c>
      <c r="B6" s="6" t="s">
        <v>127</v>
      </c>
      <c r="D6" s="6"/>
      <c r="E6" s="96" t="s">
        <v>91</v>
      </c>
    </row>
    <row r="7" spans="1:5" x14ac:dyDescent="0.25">
      <c r="A7" s="102" t="s">
        <v>54</v>
      </c>
      <c r="B7" s="6"/>
      <c r="D7" s="103"/>
      <c r="E7" s="96" t="s">
        <v>114</v>
      </c>
    </row>
    <row r="8" spans="1:5" x14ac:dyDescent="0.25">
      <c r="A8" s="102" t="s">
        <v>55</v>
      </c>
      <c r="B8" s="6"/>
      <c r="D8" s="104"/>
      <c r="E8" s="96" t="s">
        <v>92</v>
      </c>
    </row>
    <row r="9" spans="1:5" x14ac:dyDescent="0.25">
      <c r="A9" s="102" t="s">
        <v>68</v>
      </c>
      <c r="B9" s="105" t="s">
        <v>73</v>
      </c>
    </row>
    <row r="11" spans="1:5" x14ac:dyDescent="0.25">
      <c r="A11" s="71"/>
      <c r="B11" s="106"/>
    </row>
    <row r="12" spans="1:5" x14ac:dyDescent="0.25">
      <c r="A12" s="101" t="s">
        <v>93</v>
      </c>
      <c r="B12" s="106"/>
    </row>
    <row r="13" spans="1:5" x14ac:dyDescent="0.25">
      <c r="A13" s="102" t="s">
        <v>59</v>
      </c>
      <c r="B13" s="46">
        <v>2023</v>
      </c>
    </row>
    <row r="14" spans="1:5" ht="45" x14ac:dyDescent="0.25">
      <c r="A14" s="6" t="s">
        <v>94</v>
      </c>
      <c r="B14" s="107" t="s">
        <v>107</v>
      </c>
    </row>
    <row r="15" spans="1:5" x14ac:dyDescent="0.25">
      <c r="A15" s="89" t="s">
        <v>99</v>
      </c>
      <c r="B15" s="90">
        <f>VLOOKUP(B14,'Service Life '!D5:E8,2,FALSE)</f>
        <v>4</v>
      </c>
    </row>
    <row r="16" spans="1:5" ht="30" x14ac:dyDescent="0.25">
      <c r="A16" s="108" t="s">
        <v>95</v>
      </c>
      <c r="B16" s="6">
        <v>83</v>
      </c>
    </row>
    <row r="17" spans="1:12" ht="30" x14ac:dyDescent="0.25">
      <c r="A17" s="108" t="s">
        <v>96</v>
      </c>
      <c r="B17" s="6">
        <v>51</v>
      </c>
    </row>
    <row r="18" spans="1:12" x14ac:dyDescent="0.25">
      <c r="A18" s="109"/>
      <c r="B18" s="110"/>
    </row>
    <row r="19" spans="1:12" x14ac:dyDescent="0.25">
      <c r="A19" s="109"/>
      <c r="B19" s="110"/>
    </row>
    <row r="20" spans="1:12" x14ac:dyDescent="0.25">
      <c r="A20" s="111" t="s">
        <v>97</v>
      </c>
      <c r="B20" s="110"/>
    </row>
    <row r="21" spans="1:12" ht="30" x14ac:dyDescent="0.25">
      <c r="A21" s="108" t="s">
        <v>122</v>
      </c>
      <c r="B21" s="105">
        <v>19907</v>
      </c>
    </row>
    <row r="22" spans="1:12" ht="30" x14ac:dyDescent="0.25">
      <c r="A22" s="108" t="s">
        <v>118</v>
      </c>
      <c r="B22" s="121">
        <v>29192</v>
      </c>
    </row>
    <row r="23" spans="1:12" s="112" customFormat="1" x14ac:dyDescent="0.25">
      <c r="A23" s="71"/>
      <c r="B23" s="120"/>
    </row>
    <row r="24" spans="1:12" x14ac:dyDescent="0.25">
      <c r="A24" s="113" t="s">
        <v>119</v>
      </c>
      <c r="B24" s="114">
        <v>5157</v>
      </c>
      <c r="L24" s="115"/>
    </row>
    <row r="25" spans="1:12" x14ac:dyDescent="0.25">
      <c r="A25" s="113" t="s">
        <v>120</v>
      </c>
      <c r="B25" s="114">
        <v>6342</v>
      </c>
    </row>
    <row r="26" spans="1:12" x14ac:dyDescent="0.25">
      <c r="A26" s="113" t="s">
        <v>121</v>
      </c>
      <c r="B26" s="114">
        <v>8802</v>
      </c>
      <c r="L26" s="115"/>
    </row>
    <row r="28" spans="1:12" ht="18.75" x14ac:dyDescent="0.3">
      <c r="A28" s="99" t="s">
        <v>58</v>
      </c>
      <c r="B28" s="100"/>
    </row>
    <row r="29" spans="1:12" x14ac:dyDescent="0.25">
      <c r="L29" s="115"/>
    </row>
    <row r="30" spans="1:12" x14ac:dyDescent="0.25">
      <c r="A30" s="116" t="s">
        <v>56</v>
      </c>
    </row>
    <row r="31" spans="1:12" x14ac:dyDescent="0.25">
      <c r="A31" s="104" t="s">
        <v>124</v>
      </c>
      <c r="B31" s="97">
        <f>'Benefit Calculations'!L37</f>
        <v>4018900.6611218806</v>
      </c>
    </row>
    <row r="32" spans="1:12" x14ac:dyDescent="0.25">
      <c r="A32" s="104" t="s">
        <v>125</v>
      </c>
      <c r="B32" s="97">
        <f>'Benefit Calculations'!R37</f>
        <v>148974.67945048053</v>
      </c>
    </row>
    <row r="33" spans="1:3" x14ac:dyDescent="0.25">
      <c r="A33" s="110"/>
      <c r="B33" s="117"/>
    </row>
    <row r="34" spans="1:3" x14ac:dyDescent="0.25">
      <c r="A34" s="116" t="s">
        <v>98</v>
      </c>
      <c r="B34" s="117"/>
    </row>
    <row r="35" spans="1:3" x14ac:dyDescent="0.25">
      <c r="A35" s="104" t="s">
        <v>126</v>
      </c>
      <c r="B35" s="97">
        <f>$B$31+$B$32</f>
        <v>4167875.3405723614</v>
      </c>
    </row>
    <row r="36" spans="1:3" x14ac:dyDescent="0.25">
      <c r="C36" s="118"/>
    </row>
    <row r="37" spans="1:3" x14ac:dyDescent="0.25">
      <c r="A37" s="116" t="str">
        <f>"Project Life Total Emissions Reductions (Life of Project = "&amp;B15&amp;")"</f>
        <v>Project Life Total Emissions Reductions (Life of Project = 4)</v>
      </c>
      <c r="C37" s="118"/>
    </row>
    <row r="38" spans="1:3" x14ac:dyDescent="0.25">
      <c r="A38" s="104" t="s">
        <v>80</v>
      </c>
      <c r="B38" s="98">
        <f>'Benefit Calculations'!J37</f>
        <v>830.1437277179898</v>
      </c>
    </row>
    <row r="39" spans="1:3" x14ac:dyDescent="0.25">
      <c r="A39" s="104" t="s">
        <v>81</v>
      </c>
      <c r="B39" s="98">
        <f>'Benefit Calculations'!P37</f>
        <v>121.27539128960051</v>
      </c>
    </row>
    <row r="43" spans="1:3" x14ac:dyDescent="0.25">
      <c r="A43" s="119"/>
    </row>
  </sheetData>
  <sheetProtection algorithmName="SHA-512" hashValue="vG1l8hvVMWgHcYCziHruekOZ4RQQdE1dhU6FZzqX4QDRpVvabI0OnFrpul+WFAodj6GcH/C6iptgmERCobOLGw==" saltValue="M14PLvYrHULiz+TJHWR2uw==" spinCount="100000" sheet="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'Emission Factors - VOC'!$B$2:$I$2</xm:f>
          </x14:formula1>
          <xm:sqref>B9</xm:sqref>
        </x14:dataValidation>
        <x14:dataValidation type="list" allowBlank="1" showInputMessage="1" showErrorMessage="1">
          <x14:formula1>
            <xm:f>'Service Life '!$D$6:$D$8</xm:f>
          </x14:formula1>
          <xm:sqref>B14</xm:sqref>
        </x14:dataValidation>
        <x14:dataValidation type="list" allowBlank="1" showInputMessage="1" showErrorMessage="1">
          <x14:formula1>
            <xm:f>'Benefit Calculations'!$D$4:$D$36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V40"/>
  <sheetViews>
    <sheetView zoomScale="85" zoomScaleNormal="85" workbookViewId="0">
      <selection activeCell="J3" sqref="J3"/>
    </sheetView>
  </sheetViews>
  <sheetFormatPr defaultRowHeight="15" x14ac:dyDescent="0.25"/>
  <cols>
    <col min="2" max="2" width="18.7109375" customWidth="1"/>
    <col min="3" max="3" width="3.28515625" customWidth="1"/>
    <col min="4" max="4" width="7.28515625" style="1" customWidth="1"/>
    <col min="5" max="5" width="8.140625" style="1" customWidth="1"/>
    <col min="6" max="6" width="12.28515625" style="1" bestFit="1" customWidth="1"/>
    <col min="7" max="7" width="9.28515625" style="49" bestFit="1" customWidth="1"/>
    <col min="8" max="8" width="14.42578125" style="49" customWidth="1"/>
    <col min="9" max="9" width="8" style="49" bestFit="1" customWidth="1"/>
    <col min="10" max="10" width="8.140625" bestFit="1" customWidth="1"/>
    <col min="11" max="11" width="14" customWidth="1"/>
    <col min="12" max="12" width="16.42578125" customWidth="1"/>
    <col min="13" max="13" width="9.140625" bestFit="1" customWidth="1"/>
    <col min="14" max="14" width="14.42578125" customWidth="1"/>
    <col min="15" max="15" width="7.42578125" bestFit="1" customWidth="1"/>
    <col min="16" max="16" width="8.140625" bestFit="1" customWidth="1"/>
    <col min="17" max="17" width="16.28515625" customWidth="1"/>
    <col min="18" max="18" width="20.7109375" customWidth="1"/>
  </cols>
  <sheetData>
    <row r="2" spans="1:22" x14ac:dyDescent="0.25">
      <c r="D2" t="s">
        <v>63</v>
      </c>
      <c r="E2"/>
      <c r="F2"/>
      <c r="G2"/>
      <c r="H2"/>
      <c r="I2"/>
      <c r="J2" s="1"/>
      <c r="K2" s="48"/>
    </row>
    <row r="3" spans="1:22" ht="41.45" customHeight="1" x14ac:dyDescent="0.25">
      <c r="A3" s="15" t="s">
        <v>111</v>
      </c>
      <c r="B3" s="57"/>
      <c r="C3" s="56"/>
      <c r="D3" s="57" t="s">
        <v>16</v>
      </c>
      <c r="E3" s="55" t="s">
        <v>90</v>
      </c>
      <c r="F3" s="55" t="s">
        <v>84</v>
      </c>
      <c r="G3" s="55" t="s">
        <v>85</v>
      </c>
      <c r="H3" s="55" t="s">
        <v>86</v>
      </c>
      <c r="I3" s="55" t="s">
        <v>60</v>
      </c>
      <c r="J3" s="55" t="s">
        <v>112</v>
      </c>
      <c r="K3" s="58" t="s">
        <v>62</v>
      </c>
      <c r="L3" s="60" t="s">
        <v>64</v>
      </c>
      <c r="M3" s="55" t="s">
        <v>87</v>
      </c>
      <c r="N3" s="55" t="s">
        <v>88</v>
      </c>
      <c r="O3" s="55" t="s">
        <v>89</v>
      </c>
      <c r="P3" s="55" t="s">
        <v>113</v>
      </c>
      <c r="Q3" s="55" t="s">
        <v>65</v>
      </c>
      <c r="R3" s="59" t="s">
        <v>66</v>
      </c>
    </row>
    <row r="4" spans="1:22" x14ac:dyDescent="0.25">
      <c r="A4" s="69" t="s">
        <v>78</v>
      </c>
      <c r="B4" s="84">
        <f>HLOOKUP('Inputs &amp; Outputs'!$B$9,'Emission Factors - NOx'!$B$6:$I$7,2)</f>
        <v>0.38155000656850002</v>
      </c>
      <c r="D4" s="61">
        <v>2018</v>
      </c>
      <c r="E4" s="62">
        <f>IF(AND(D4&gt;='Inputs &amp; Outputs'!B$13,D4&lt;'Inputs &amp; Outputs'!B$13+'Inputs &amp; Outputs'!B$15),1,0)</f>
        <v>0</v>
      </c>
      <c r="F4" s="86">
        <f>('Inputs &amp; Outputs'!$B$25/'Inputs &amp; Outputs'!$B$24)^(1/(2025-2018))-1</f>
        <v>2.9989338871920568E-2</v>
      </c>
      <c r="G4" s="52">
        <f>((('Inputs &amp; Outputs'!$B$16-'Inputs &amp; Outputs'!$B$17)*$B$4*'Inputs &amp; Outputs'!$B$22)+(('Inputs &amp; Outputs'!$B$16-'Inputs &amp; Outputs'!$B$17)*$B$4*'Inputs &amp; Outputs'!$B$21))</f>
        <v>599479.16072021704</v>
      </c>
      <c r="H4" s="52">
        <f>G4</f>
        <v>599479.16072021704</v>
      </c>
      <c r="I4" s="52">
        <f>E4*H4</f>
        <v>0</v>
      </c>
      <c r="J4" s="52">
        <f>(I4*(1/907184))*260</f>
        <v>0</v>
      </c>
      <c r="K4" s="63">
        <f>ABS(J4*'Assumed Values'!$C$12)</f>
        <v>0</v>
      </c>
      <c r="L4" s="81">
        <f t="shared" ref="L4:L36" si="0">K4/(1.07^(D4-D$4))</f>
        <v>0</v>
      </c>
      <c r="M4" s="64">
        <f>((('Inputs &amp; Outputs'!$B$16-'Inputs &amp; Outputs'!$B$17)*$B$5*'Inputs &amp; Outputs'!$B$22)+(('Inputs &amp; Outputs'!$B$16-'Inputs &amp; Outputs'!$B$17)*$B$5*'Inputs &amp; Outputs'!$B$21))</f>
        <v>88780.419729480345</v>
      </c>
      <c r="N4" s="52">
        <f>M4</f>
        <v>88780.419729480345</v>
      </c>
      <c r="O4" s="52">
        <f t="shared" ref="O4:O36" si="1">E4*N4</f>
        <v>0</v>
      </c>
      <c r="P4" s="52">
        <f>(O4*(1/907184))*260</f>
        <v>0</v>
      </c>
      <c r="Q4" s="65">
        <f>ABS(P4*'Assumed Values'!$C$11)</f>
        <v>0</v>
      </c>
      <c r="R4" s="79">
        <f t="shared" ref="R4:R36" si="2">Q4/(1.07^(D4-D$4))</f>
        <v>0</v>
      </c>
      <c r="T4" s="62"/>
    </row>
    <row r="5" spans="1:22" x14ac:dyDescent="0.25">
      <c r="A5" s="70" t="s">
        <v>79</v>
      </c>
      <c r="B5" s="85">
        <f>HLOOKUP('Inputs &amp; Outputs'!$B$9,'Emission Factors - VOC'!$B$6:$I$7,2)</f>
        <v>5.6506000459199998E-2</v>
      </c>
      <c r="D5" s="13">
        <f t="shared" ref="D5:D36" si="3">D4+1</f>
        <v>2019</v>
      </c>
      <c r="E5" s="62">
        <f>IF(AND(D5&gt;='Inputs &amp; Outputs'!B$13,D5&lt;'Inputs &amp; Outputs'!B$13+'Inputs &amp; Outputs'!B$15),1,0)</f>
        <v>0</v>
      </c>
      <c r="F5" s="86">
        <f>('Inputs &amp; Outputs'!$B$25/'Inputs &amp; Outputs'!$B$24)^(1/(2025-2018))-1</f>
        <v>2.9989338871920568E-2</v>
      </c>
      <c r="G5" s="52">
        <f>((('Inputs &amp; Outputs'!$B$16-'Inputs &amp; Outputs'!$B$17)*$B$4*'Inputs &amp; Outputs'!$B$22)+(('Inputs &amp; Outputs'!$B$16-'Inputs &amp; Outputs'!$B$17)*$B$4*'Inputs &amp; Outputs'!$B$21))</f>
        <v>599479.16072021704</v>
      </c>
      <c r="H5" s="52">
        <f>(H4*F5)+H4</f>
        <v>617457.14441771014</v>
      </c>
      <c r="I5" s="52">
        <f t="shared" ref="I5:I36" si="4">E5*H5</f>
        <v>0</v>
      </c>
      <c r="J5" s="52">
        <f t="shared" ref="J5:J36" si="5">(I5*(1/907184))*260</f>
        <v>0</v>
      </c>
      <c r="K5" s="63">
        <f>ABS(J5*'Assumed Values'!$C$12)</f>
        <v>0</v>
      </c>
      <c r="L5" s="81">
        <f t="shared" si="0"/>
        <v>0</v>
      </c>
      <c r="M5" s="64">
        <f>((('Inputs &amp; Outputs'!$B$16-'Inputs &amp; Outputs'!$B$17)*$B$5*'Inputs &amp; Outputs'!$B$22)+(('Inputs &amp; Outputs'!$B$16-'Inputs &amp; Outputs'!$B$17)*$B$5*'Inputs &amp; Outputs'!$B$21))</f>
        <v>88780.419729480345</v>
      </c>
      <c r="N5" s="52">
        <f t="shared" ref="N5:N36" si="6">(N$4*F5)+N4</f>
        <v>91442.885821939068</v>
      </c>
      <c r="O5" s="52">
        <f t="shared" si="1"/>
        <v>0</v>
      </c>
      <c r="P5" s="52">
        <f t="shared" ref="P5:P36" si="7">(O5*(1/907184))*260</f>
        <v>0</v>
      </c>
      <c r="Q5" s="65">
        <f>ABS(P5*'Assumed Values'!$C$11)</f>
        <v>0</v>
      </c>
      <c r="R5" s="79">
        <f t="shared" si="2"/>
        <v>0</v>
      </c>
      <c r="T5" s="62"/>
    </row>
    <row r="6" spans="1:22" x14ac:dyDescent="0.25">
      <c r="D6" s="50">
        <f t="shared" si="3"/>
        <v>2020</v>
      </c>
      <c r="E6" s="62">
        <f>IF(AND(D6&gt;='Inputs &amp; Outputs'!B$13,D6&lt;'Inputs &amp; Outputs'!B$13+'Inputs &amp; Outputs'!B$15),1,0)</f>
        <v>0</v>
      </c>
      <c r="F6" s="86">
        <f>('Inputs &amp; Outputs'!$B$25/'Inputs &amp; Outputs'!$B$24)^(1/(2025-2018))-1</f>
        <v>2.9989338871920568E-2</v>
      </c>
      <c r="G6" s="52">
        <f>((('Inputs &amp; Outputs'!$B$16-'Inputs &amp; Outputs'!$B$17)*$B$4*'Inputs &amp; Outputs'!$B$22)+(('Inputs &amp; Outputs'!$B$16-'Inputs &amp; Outputs'!$B$17)*$B$4*'Inputs &amp; Outputs'!$B$21))</f>
        <v>599479.16072021704</v>
      </c>
      <c r="H6" s="52">
        <f t="shared" ref="H6:H36" si="8">(H5*F6)+H5</f>
        <v>635974.27596054121</v>
      </c>
      <c r="I6" s="52">
        <f t="shared" si="4"/>
        <v>0</v>
      </c>
      <c r="J6" s="52">
        <f t="shared" si="5"/>
        <v>0</v>
      </c>
      <c r="K6" s="63">
        <f>ABS(J6*'Assumed Values'!$C$12)</f>
        <v>0</v>
      </c>
      <c r="L6" s="81">
        <f t="shared" si="0"/>
        <v>0</v>
      </c>
      <c r="M6" s="64">
        <f>((('Inputs &amp; Outputs'!$B$16-'Inputs &amp; Outputs'!$B$17)*$B$5*'Inputs &amp; Outputs'!$B$22)+(('Inputs &amp; Outputs'!$B$16-'Inputs &amp; Outputs'!$B$17)*$B$5*'Inputs &amp; Outputs'!$B$21))</f>
        <v>88780.419729480345</v>
      </c>
      <c r="N6" s="52">
        <f t="shared" si="6"/>
        <v>94105.35191439779</v>
      </c>
      <c r="O6" s="52">
        <f t="shared" si="1"/>
        <v>0</v>
      </c>
      <c r="P6" s="52">
        <f t="shared" si="7"/>
        <v>0</v>
      </c>
      <c r="Q6" s="65">
        <f>ABS(P6*'Assumed Values'!$C$11)</f>
        <v>0</v>
      </c>
      <c r="R6" s="79">
        <f t="shared" si="2"/>
        <v>0</v>
      </c>
      <c r="T6" s="62"/>
    </row>
    <row r="7" spans="1:22" x14ac:dyDescent="0.25">
      <c r="D7" s="13">
        <f t="shared" si="3"/>
        <v>2021</v>
      </c>
      <c r="E7" s="62">
        <f>IF(AND(D7&gt;='Inputs &amp; Outputs'!B$13,D7&lt;'Inputs &amp; Outputs'!B$13+'Inputs &amp; Outputs'!B$15),1,0)</f>
        <v>0</v>
      </c>
      <c r="F7" s="86">
        <f>('Inputs &amp; Outputs'!$B$25/'Inputs &amp; Outputs'!$B$24)^(1/(2025-2018))-1</f>
        <v>2.9989338871920568E-2</v>
      </c>
      <c r="G7" s="52">
        <f>((('Inputs &amp; Outputs'!$B$16-'Inputs &amp; Outputs'!$B$17)*$B$4*'Inputs &amp; Outputs'!$B$22)+(('Inputs &amp; Outputs'!$B$16-'Inputs &amp; Outputs'!$B$17)*$B$4*'Inputs &amp; Outputs'!$B$21))</f>
        <v>599479.16072021704</v>
      </c>
      <c r="H7" s="52">
        <f t="shared" si="8"/>
        <v>655046.72403614619</v>
      </c>
      <c r="I7" s="52">
        <f t="shared" si="4"/>
        <v>0</v>
      </c>
      <c r="J7" s="52">
        <f t="shared" si="5"/>
        <v>0</v>
      </c>
      <c r="K7" s="63">
        <f>ABS(J7*'Assumed Values'!$C$12)</f>
        <v>0</v>
      </c>
      <c r="L7" s="81">
        <f t="shared" si="0"/>
        <v>0</v>
      </c>
      <c r="M7" s="64">
        <f>((('Inputs &amp; Outputs'!$B$16-'Inputs &amp; Outputs'!$B$17)*$B$5*'Inputs &amp; Outputs'!$B$22)+(('Inputs &amp; Outputs'!$B$16-'Inputs &amp; Outputs'!$B$17)*$B$5*'Inputs &amp; Outputs'!$B$21))</f>
        <v>88780.419729480345</v>
      </c>
      <c r="N7" s="52">
        <f t="shared" si="6"/>
        <v>96767.818006856513</v>
      </c>
      <c r="O7" s="52">
        <f t="shared" si="1"/>
        <v>0</v>
      </c>
      <c r="P7" s="52">
        <f t="shared" si="7"/>
        <v>0</v>
      </c>
      <c r="Q7" s="65">
        <f>ABS(P7*'Assumed Values'!$C$11)</f>
        <v>0</v>
      </c>
      <c r="R7" s="79">
        <f t="shared" si="2"/>
        <v>0</v>
      </c>
      <c r="T7" s="62"/>
      <c r="V7" s="87"/>
    </row>
    <row r="8" spans="1:22" x14ac:dyDescent="0.25">
      <c r="D8" s="50">
        <f t="shared" si="3"/>
        <v>2022</v>
      </c>
      <c r="E8" s="62">
        <f>IF(AND(D8&gt;='Inputs &amp; Outputs'!B$13,D8&lt;'Inputs &amp; Outputs'!B$13+'Inputs &amp; Outputs'!B$15),1,0)</f>
        <v>0</v>
      </c>
      <c r="F8" s="86">
        <f>('Inputs &amp; Outputs'!$B$25/'Inputs &amp; Outputs'!$B$24)^(1/(2025-2018))-1</f>
        <v>2.9989338871920568E-2</v>
      </c>
      <c r="G8" s="52">
        <f>((('Inputs &amp; Outputs'!$B$16-'Inputs &amp; Outputs'!$B$17)*$B$4*'Inputs &amp; Outputs'!$B$22)+(('Inputs &amp; Outputs'!$B$16-'Inputs &amp; Outputs'!$B$17)*$B$4*'Inputs &amp; Outputs'!$B$21))</f>
        <v>599479.16072021704</v>
      </c>
      <c r="H8" s="52">
        <f t="shared" si="8"/>
        <v>674691.14222020761</v>
      </c>
      <c r="I8" s="52">
        <f t="shared" si="4"/>
        <v>0</v>
      </c>
      <c r="J8" s="52">
        <f t="shared" si="5"/>
        <v>0</v>
      </c>
      <c r="K8" s="63">
        <f>ABS(J8*'Assumed Values'!$C$12)</f>
        <v>0</v>
      </c>
      <c r="L8" s="81">
        <f t="shared" si="0"/>
        <v>0</v>
      </c>
      <c r="M8" s="64">
        <f>((('Inputs &amp; Outputs'!$B$16-'Inputs &amp; Outputs'!$B$17)*$B$5*'Inputs &amp; Outputs'!$B$22)+(('Inputs &amp; Outputs'!$B$16-'Inputs &amp; Outputs'!$B$17)*$B$5*'Inputs &amp; Outputs'!$B$21))</f>
        <v>88780.419729480345</v>
      </c>
      <c r="N8" s="52">
        <f t="shared" si="6"/>
        <v>99430.284099315235</v>
      </c>
      <c r="O8" s="52">
        <f t="shared" si="1"/>
        <v>0</v>
      </c>
      <c r="P8" s="52">
        <f t="shared" si="7"/>
        <v>0</v>
      </c>
      <c r="Q8" s="65">
        <f>ABS(P8*'Assumed Values'!$C$11)</f>
        <v>0</v>
      </c>
      <c r="R8" s="79">
        <f t="shared" si="2"/>
        <v>0</v>
      </c>
      <c r="T8" s="62"/>
    </row>
    <row r="9" spans="1:22" x14ac:dyDescent="0.25">
      <c r="D9" s="13">
        <f t="shared" si="3"/>
        <v>2023</v>
      </c>
      <c r="E9" s="62">
        <f>IF(AND(D9&gt;='Inputs &amp; Outputs'!B$13,D9&lt;'Inputs &amp; Outputs'!B$13+'Inputs &amp; Outputs'!B$15),1,0)</f>
        <v>1</v>
      </c>
      <c r="F9" s="86">
        <f>('Inputs &amp; Outputs'!$B$25/'Inputs &amp; Outputs'!$B$24)^(1/(2025-2018))-1</f>
        <v>2.9989338871920568E-2</v>
      </c>
      <c r="G9" s="52">
        <f>((('Inputs &amp; Outputs'!$B$16-'Inputs &amp; Outputs'!$B$17)*$B$4*'Inputs &amp; Outputs'!$B$22)+(('Inputs &amp; Outputs'!$B$16-'Inputs &amp; Outputs'!$B$17)*$B$4*'Inputs &amp; Outputs'!$B$21))</f>
        <v>599479.16072021704</v>
      </c>
      <c r="H9" s="52">
        <f t="shared" si="8"/>
        <v>694924.68351813254</v>
      </c>
      <c r="I9" s="52">
        <f t="shared" si="4"/>
        <v>694924.68351813254</v>
      </c>
      <c r="J9" s="52">
        <f t="shared" si="5"/>
        <v>199.16623057143255</v>
      </c>
      <c r="K9" s="63">
        <f>ABS(J9*'Assumed Values'!$C$12)</f>
        <v>1495340.0591303157</v>
      </c>
      <c r="L9" s="81">
        <f t="shared" si="0"/>
        <v>1066156.7957882064</v>
      </c>
      <c r="M9" s="64">
        <f>((('Inputs &amp; Outputs'!$B$16-'Inputs &amp; Outputs'!$B$17)*$B$5*'Inputs &amp; Outputs'!$B$22)+(('Inputs &amp; Outputs'!$B$16-'Inputs &amp; Outputs'!$B$17)*$B$5*'Inputs &amp; Outputs'!$B$21))</f>
        <v>88780.419729480345</v>
      </c>
      <c r="N9" s="52">
        <f t="shared" si="6"/>
        <v>102092.75019177396</v>
      </c>
      <c r="O9" s="52">
        <f t="shared" si="1"/>
        <v>102092.75019177396</v>
      </c>
      <c r="P9" s="52">
        <f t="shared" si="7"/>
        <v>29.259902125545896</v>
      </c>
      <c r="Q9" s="65">
        <f>ABS(P9*'Assumed Values'!$C$11)</f>
        <v>55740.113549164933</v>
      </c>
      <c r="R9" s="79">
        <f t="shared" si="2"/>
        <v>39741.930603404966</v>
      </c>
      <c r="T9" s="62"/>
    </row>
    <row r="10" spans="1:22" x14ac:dyDescent="0.25">
      <c r="D10" s="50">
        <f t="shared" si="3"/>
        <v>2024</v>
      </c>
      <c r="E10" s="62">
        <f>IF(AND(D10&gt;='Inputs &amp; Outputs'!B$13,D10&lt;'Inputs &amp; Outputs'!B$13+'Inputs &amp; Outputs'!B$15),1,0)</f>
        <v>1</v>
      </c>
      <c r="F10" s="86">
        <f>('Inputs &amp; Outputs'!$B$25/'Inputs &amp; Outputs'!$B$24)^(1/(2025-2018))-1</f>
        <v>2.9989338871920568E-2</v>
      </c>
      <c r="G10" s="52">
        <f>((('Inputs &amp; Outputs'!$B$16-'Inputs &amp; Outputs'!$B$17)*$B$4*'Inputs &amp; Outputs'!$B$22)+(('Inputs &amp; Outputs'!$B$16-'Inputs &amp; Outputs'!$B$17)*$B$4*'Inputs &amp; Outputs'!$B$21))</f>
        <v>599479.16072021704</v>
      </c>
      <c r="H10" s="52">
        <f t="shared" si="8"/>
        <v>715765.01534261997</v>
      </c>
      <c r="I10" s="52">
        <f t="shared" si="4"/>
        <v>715765.01534261997</v>
      </c>
      <c r="J10" s="52">
        <f t="shared" si="5"/>
        <v>205.13909415188229</v>
      </c>
      <c r="K10" s="63">
        <f>ABS(J10*'Assumed Values'!$C$12)</f>
        <v>1540184.3188923323</v>
      </c>
      <c r="L10" s="81">
        <f t="shared" si="0"/>
        <v>1026289.8441380374</v>
      </c>
      <c r="M10" s="64">
        <f>((('Inputs &amp; Outputs'!$B$16-'Inputs &amp; Outputs'!$B$17)*$B$5*'Inputs &amp; Outputs'!$B$22)+(('Inputs &amp; Outputs'!$B$16-'Inputs &amp; Outputs'!$B$17)*$B$5*'Inputs &amp; Outputs'!$B$21))</f>
        <v>88780.419729480345</v>
      </c>
      <c r="N10" s="52">
        <f t="shared" si="6"/>
        <v>104755.21628423268</v>
      </c>
      <c r="O10" s="52">
        <f t="shared" si="1"/>
        <v>104755.21628423268</v>
      </c>
      <c r="P10" s="52">
        <f t="shared" si="7"/>
        <v>30.022968035040851</v>
      </c>
      <c r="Q10" s="65">
        <f>ABS(P10*'Assumed Values'!$C$11)</f>
        <v>57193.754106752822</v>
      </c>
      <c r="R10" s="79">
        <f t="shared" si="2"/>
        <v>38110.613299908473</v>
      </c>
      <c r="T10" s="62"/>
    </row>
    <row r="11" spans="1:22" x14ac:dyDescent="0.25">
      <c r="D11" s="13">
        <f t="shared" si="3"/>
        <v>2025</v>
      </c>
      <c r="E11" s="62">
        <f>IF(AND(D11&gt;='Inputs &amp; Outputs'!B$13,D11&lt;'Inputs &amp; Outputs'!B$13+'Inputs &amp; Outputs'!B$15),1,0)</f>
        <v>1</v>
      </c>
      <c r="F11" s="86">
        <f>('Inputs &amp; Outputs'!$B$25/'Inputs &amp; Outputs'!$B$24)^(1/(2025-2018))-1</f>
        <v>2.9989338871920568E-2</v>
      </c>
      <c r="G11" s="52">
        <f>((('Inputs &amp; Outputs'!$B$16-'Inputs &amp; Outputs'!$B$17)*$B$4*'Inputs &amp; Outputs'!$B$22)+(('Inputs &amp; Outputs'!$B$16-'Inputs &amp; Outputs'!$B$17)*$B$4*'Inputs &amp; Outputs'!$B$21))</f>
        <v>599479.16072021704</v>
      </c>
      <c r="H11" s="52">
        <f t="shared" si="8"/>
        <v>737230.3349403952</v>
      </c>
      <c r="I11" s="52">
        <f t="shared" si="4"/>
        <v>737230.3349403952</v>
      </c>
      <c r="J11" s="52">
        <f t="shared" si="5"/>
        <v>211.29107996228188</v>
      </c>
      <c r="K11" s="63">
        <f>ABS(J11*'Assumed Values'!$C$12)</f>
        <v>1586373.4283568123</v>
      </c>
      <c r="L11" s="81">
        <f t="shared" si="0"/>
        <v>987913.64304177882</v>
      </c>
      <c r="M11" s="64">
        <f>((('Inputs &amp; Outputs'!$B$16-'Inputs &amp; Outputs'!$B$17)*$B$5*'Inputs &amp; Outputs'!$B$22)+(('Inputs &amp; Outputs'!$B$16-'Inputs &amp; Outputs'!$B$17)*$B$5*'Inputs &amp; Outputs'!$B$21))</f>
        <v>88780.419729480345</v>
      </c>
      <c r="N11" s="52">
        <f t="shared" si="6"/>
        <v>107417.6823766914</v>
      </c>
      <c r="O11" s="52">
        <f t="shared" si="1"/>
        <v>107417.6823766914</v>
      </c>
      <c r="P11" s="52">
        <f t="shared" si="7"/>
        <v>30.786033944535799</v>
      </c>
      <c r="Q11" s="65">
        <f>ABS(P11*'Assumed Values'!$C$11)</f>
        <v>58647.394664340696</v>
      </c>
      <c r="R11" s="79">
        <f t="shared" si="2"/>
        <v>36522.649889421911</v>
      </c>
      <c r="T11" s="62"/>
    </row>
    <row r="12" spans="1:22" x14ac:dyDescent="0.25">
      <c r="D12" s="50">
        <f t="shared" si="3"/>
        <v>2026</v>
      </c>
      <c r="E12" s="62">
        <f>IF(AND(D12&gt;='Inputs &amp; Outputs'!B$13,D12&lt;'Inputs &amp; Outputs'!B$13+'Inputs &amp; Outputs'!B$15),1,0)</f>
        <v>1</v>
      </c>
      <c r="F12" s="86">
        <f>('Inputs &amp; Outputs'!$B$26/'Inputs &amp; Outputs'!$B$25)^(1/(2045-2025))-1</f>
        <v>1.6524279928542773E-2</v>
      </c>
      <c r="G12" s="52">
        <f>((('Inputs &amp; Outputs'!$B$16-'Inputs &amp; Outputs'!$B$17)*$B$4*'Inputs &amp; Outputs'!$B$22)+(('Inputs &amp; Outputs'!$B$16-'Inputs &amp; Outputs'!$B$17)*$B$4*'Inputs &amp; Outputs'!$B$21))</f>
        <v>599479.16072021704</v>
      </c>
      <c r="H12" s="52">
        <f t="shared" si="8"/>
        <v>749412.53536676359</v>
      </c>
      <c r="I12" s="52">
        <f t="shared" si="4"/>
        <v>749412.53536676359</v>
      </c>
      <c r="J12" s="52">
        <f t="shared" si="5"/>
        <v>214.78251291398274</v>
      </c>
      <c r="K12" s="63">
        <f>ABS(J12*'Assumed Values'!$C$12)</f>
        <v>1612587.1069581825</v>
      </c>
      <c r="L12" s="81">
        <f t="shared" si="0"/>
        <v>938540.37815385766</v>
      </c>
      <c r="M12" s="64">
        <f>((('Inputs &amp; Outputs'!$B$16-'Inputs &amp; Outputs'!$B$17)*$B$5*'Inputs &amp; Outputs'!$B$22)+(('Inputs &amp; Outputs'!$B$16-'Inputs &amp; Outputs'!$B$17)*$B$5*'Inputs &amp; Outputs'!$B$21))</f>
        <v>88780.419729480345</v>
      </c>
      <c r="N12" s="52">
        <f t="shared" si="6"/>
        <v>108884.71488447486</v>
      </c>
      <c r="O12" s="52">
        <f t="shared" si="1"/>
        <v>108884.71488447486</v>
      </c>
      <c r="P12" s="52">
        <f t="shared" si="7"/>
        <v>31.206487184477968</v>
      </c>
      <c r="Q12" s="65">
        <f>ABS(P12*'Assumed Values'!$C$11)</f>
        <v>59448.358086430526</v>
      </c>
      <c r="R12" s="79">
        <f t="shared" si="2"/>
        <v>34599.485657745194</v>
      </c>
      <c r="T12" s="62"/>
    </row>
    <row r="13" spans="1:22" x14ac:dyDescent="0.25">
      <c r="D13" s="13">
        <f t="shared" si="3"/>
        <v>2027</v>
      </c>
      <c r="E13" s="62">
        <f>IF(AND(D13&gt;='Inputs &amp; Outputs'!B$13,D13&lt;'Inputs &amp; Outputs'!B$13+'Inputs &amp; Outputs'!B$15),1,0)</f>
        <v>0</v>
      </c>
      <c r="F13" s="86">
        <f>('Inputs &amp; Outputs'!$B$26/'Inputs &amp; Outputs'!$B$25)^(1/(2045-2025))-1</f>
        <v>1.6524279928542773E-2</v>
      </c>
      <c r="G13" s="52">
        <f>((('Inputs &amp; Outputs'!$B$16-'Inputs &amp; Outputs'!$B$17)*$B$4*'Inputs &amp; Outputs'!$B$22)+(('Inputs &amp; Outputs'!$B$16-'Inputs &amp; Outputs'!$B$17)*$B$4*'Inputs &amp; Outputs'!$B$21))</f>
        <v>599479.16072021704</v>
      </c>
      <c r="H13" s="52">
        <f t="shared" si="8"/>
        <v>761796.03788312292</v>
      </c>
      <c r="I13" s="52">
        <f t="shared" si="4"/>
        <v>0</v>
      </c>
      <c r="J13" s="52">
        <f t="shared" si="5"/>
        <v>0</v>
      </c>
      <c r="K13" s="63">
        <f>ABS(J13*'Assumed Values'!$C$12)</f>
        <v>0</v>
      </c>
      <c r="L13" s="81">
        <f t="shared" si="0"/>
        <v>0</v>
      </c>
      <c r="M13" s="64">
        <f>((('Inputs &amp; Outputs'!$B$16-'Inputs &amp; Outputs'!$B$17)*$B$5*'Inputs &amp; Outputs'!$B$22)+(('Inputs &amp; Outputs'!$B$16-'Inputs &amp; Outputs'!$B$17)*$B$5*'Inputs &amp; Outputs'!$B$21))</f>
        <v>88780.419729480345</v>
      </c>
      <c r="N13" s="52">
        <f t="shared" si="6"/>
        <v>110351.74739225832</v>
      </c>
      <c r="O13" s="52">
        <f t="shared" si="1"/>
        <v>0</v>
      </c>
      <c r="P13" s="52">
        <f t="shared" si="7"/>
        <v>0</v>
      </c>
      <c r="Q13" s="65">
        <f>ABS(P13*'Assumed Values'!$C$11)</f>
        <v>0</v>
      </c>
      <c r="R13" s="79">
        <f t="shared" si="2"/>
        <v>0</v>
      </c>
      <c r="T13" s="62"/>
    </row>
    <row r="14" spans="1:22" x14ac:dyDescent="0.25">
      <c r="D14" s="50">
        <f t="shared" si="3"/>
        <v>2028</v>
      </c>
      <c r="E14" s="62">
        <f>IF(AND(D14&gt;='Inputs &amp; Outputs'!B$13,D14&lt;'Inputs &amp; Outputs'!B$13+'Inputs &amp; Outputs'!B$15),1,0)</f>
        <v>0</v>
      </c>
      <c r="F14" s="86">
        <f>('Inputs &amp; Outputs'!$B$26/'Inputs &amp; Outputs'!$B$25)^(1/(2045-2025))-1</f>
        <v>1.6524279928542773E-2</v>
      </c>
      <c r="G14" s="52">
        <f>((('Inputs &amp; Outputs'!$B$16-'Inputs &amp; Outputs'!$B$17)*$B$4*'Inputs &amp; Outputs'!$B$22)+(('Inputs &amp; Outputs'!$B$16-'Inputs &amp; Outputs'!$B$17)*$B$4*'Inputs &amp; Outputs'!$B$21))</f>
        <v>599479.16072021704</v>
      </c>
      <c r="H14" s="52">
        <f t="shared" si="8"/>
        <v>774384.16886155843</v>
      </c>
      <c r="I14" s="52">
        <f t="shared" si="4"/>
        <v>0</v>
      </c>
      <c r="J14" s="52">
        <f t="shared" si="5"/>
        <v>0</v>
      </c>
      <c r="K14" s="63">
        <f>ABS(J14*'Assumed Values'!$C$12)</f>
        <v>0</v>
      </c>
      <c r="L14" s="81">
        <f t="shared" si="0"/>
        <v>0</v>
      </c>
      <c r="M14" s="64">
        <f>((('Inputs &amp; Outputs'!$B$16-'Inputs &amp; Outputs'!$B$17)*$B$5*'Inputs &amp; Outputs'!$B$22)+(('Inputs &amp; Outputs'!$B$16-'Inputs &amp; Outputs'!$B$17)*$B$5*'Inputs &amp; Outputs'!$B$21))</f>
        <v>88780.419729480345</v>
      </c>
      <c r="N14" s="52">
        <f t="shared" si="6"/>
        <v>111818.77990004177</v>
      </c>
      <c r="O14" s="52">
        <f t="shared" si="1"/>
        <v>0</v>
      </c>
      <c r="P14" s="52">
        <f t="shared" si="7"/>
        <v>0</v>
      </c>
      <c r="Q14" s="65">
        <f>ABS(P14*'Assumed Values'!$C$11)</f>
        <v>0</v>
      </c>
      <c r="R14" s="79">
        <f t="shared" si="2"/>
        <v>0</v>
      </c>
      <c r="T14" s="62"/>
    </row>
    <row r="15" spans="1:22" x14ac:dyDescent="0.25">
      <c r="D15" s="13">
        <f t="shared" si="3"/>
        <v>2029</v>
      </c>
      <c r="E15" s="62">
        <f>IF(AND(D15&gt;='Inputs &amp; Outputs'!B$13,D15&lt;'Inputs &amp; Outputs'!B$13+'Inputs &amp; Outputs'!B$15),1,0)</f>
        <v>0</v>
      </c>
      <c r="F15" s="86">
        <f>('Inputs &amp; Outputs'!$B$26/'Inputs &amp; Outputs'!$B$25)^(1/(2045-2025))-1</f>
        <v>1.6524279928542773E-2</v>
      </c>
      <c r="G15" s="52">
        <f>((('Inputs &amp; Outputs'!$B$16-'Inputs &amp; Outputs'!$B$17)*$B$4*'Inputs &amp; Outputs'!$B$22)+(('Inputs &amp; Outputs'!$B$16-'Inputs &amp; Outputs'!$B$17)*$B$4*'Inputs &amp; Outputs'!$B$21))</f>
        <v>599479.16072021704</v>
      </c>
      <c r="H15" s="52">
        <f t="shared" si="8"/>
        <v>787180.30964005878</v>
      </c>
      <c r="I15" s="52">
        <f t="shared" si="4"/>
        <v>0</v>
      </c>
      <c r="J15" s="52">
        <f t="shared" si="5"/>
        <v>0</v>
      </c>
      <c r="K15" s="63">
        <f>ABS(J15*'Assumed Values'!$C$12)</f>
        <v>0</v>
      </c>
      <c r="L15" s="81">
        <f t="shared" si="0"/>
        <v>0</v>
      </c>
      <c r="M15" s="64">
        <f>((('Inputs &amp; Outputs'!$B$16-'Inputs &amp; Outputs'!$B$17)*$B$5*'Inputs &amp; Outputs'!$B$22)+(('Inputs &amp; Outputs'!$B$16-'Inputs &amp; Outputs'!$B$17)*$B$5*'Inputs &amp; Outputs'!$B$21))</f>
        <v>88780.419729480345</v>
      </c>
      <c r="N15" s="52">
        <f t="shared" si="6"/>
        <v>113285.81240782523</v>
      </c>
      <c r="O15" s="52">
        <f t="shared" si="1"/>
        <v>0</v>
      </c>
      <c r="P15" s="52">
        <f t="shared" si="7"/>
        <v>0</v>
      </c>
      <c r="Q15" s="65">
        <f>ABS(P15*'Assumed Values'!$C$11)</f>
        <v>0</v>
      </c>
      <c r="R15" s="79">
        <f t="shared" si="2"/>
        <v>0</v>
      </c>
      <c r="T15" s="62"/>
    </row>
    <row r="16" spans="1:22" x14ac:dyDescent="0.25">
      <c r="D16" s="50">
        <f t="shared" si="3"/>
        <v>2030</v>
      </c>
      <c r="E16" s="62">
        <f>IF(AND(D16&gt;='Inputs &amp; Outputs'!B$13,D16&lt;'Inputs &amp; Outputs'!B$13+'Inputs &amp; Outputs'!B$15),1,0)</f>
        <v>0</v>
      </c>
      <c r="F16" s="86">
        <f>('Inputs &amp; Outputs'!$B$26/'Inputs &amp; Outputs'!$B$25)^(1/(2045-2025))-1</f>
        <v>1.6524279928542773E-2</v>
      </c>
      <c r="G16" s="52">
        <f>((('Inputs &amp; Outputs'!$B$16-'Inputs &amp; Outputs'!$B$17)*$B$4*'Inputs &amp; Outputs'!$B$22)+(('Inputs &amp; Outputs'!$B$16-'Inputs &amp; Outputs'!$B$17)*$B$4*'Inputs &amp; Outputs'!$B$21))</f>
        <v>599479.16072021704</v>
      </c>
      <c r="H16" s="52">
        <f t="shared" si="8"/>
        <v>800187.89743078814</v>
      </c>
      <c r="I16" s="52">
        <f t="shared" si="4"/>
        <v>0</v>
      </c>
      <c r="J16" s="52">
        <f t="shared" si="5"/>
        <v>0</v>
      </c>
      <c r="K16" s="63">
        <f>ABS(J16*'Assumed Values'!$C$12)</f>
        <v>0</v>
      </c>
      <c r="L16" s="81">
        <f t="shared" si="0"/>
        <v>0</v>
      </c>
      <c r="M16" s="64">
        <f>((('Inputs &amp; Outputs'!$B$16-'Inputs &amp; Outputs'!$B$17)*$B$5*'Inputs &amp; Outputs'!$B$22)+(('Inputs &amp; Outputs'!$B$16-'Inputs &amp; Outputs'!$B$17)*$B$5*'Inputs &amp; Outputs'!$B$21))</f>
        <v>88780.419729480345</v>
      </c>
      <c r="N16" s="52">
        <f t="shared" si="6"/>
        <v>114752.84491560869</v>
      </c>
      <c r="O16" s="52">
        <f t="shared" si="1"/>
        <v>0</v>
      </c>
      <c r="P16" s="52">
        <f t="shared" si="7"/>
        <v>0</v>
      </c>
      <c r="Q16" s="65">
        <f>ABS(P16*'Assumed Values'!$C$11)</f>
        <v>0</v>
      </c>
      <c r="R16" s="79">
        <f t="shared" si="2"/>
        <v>0</v>
      </c>
      <c r="T16" s="62"/>
    </row>
    <row r="17" spans="4:20" x14ac:dyDescent="0.25">
      <c r="D17" s="13">
        <f t="shared" si="3"/>
        <v>2031</v>
      </c>
      <c r="E17" s="62">
        <f>IF(AND(D17&gt;='Inputs &amp; Outputs'!B$13,D17&lt;'Inputs &amp; Outputs'!B$13+'Inputs &amp; Outputs'!B$15),1,0)</f>
        <v>0</v>
      </c>
      <c r="F17" s="86">
        <f>('Inputs &amp; Outputs'!$B$26/'Inputs &amp; Outputs'!$B$25)^(1/(2045-2025))-1</f>
        <v>1.6524279928542773E-2</v>
      </c>
      <c r="G17" s="52">
        <f>((('Inputs &amp; Outputs'!$B$16-'Inputs &amp; Outputs'!$B$17)*$B$4*'Inputs &amp; Outputs'!$B$22)+(('Inputs &amp; Outputs'!$B$16-'Inputs &amp; Outputs'!$B$17)*$B$4*'Inputs &amp; Outputs'!$B$21))</f>
        <v>599479.16072021704</v>
      </c>
      <c r="H17" s="52">
        <f t="shared" si="8"/>
        <v>813410.42624336656</v>
      </c>
      <c r="I17" s="52">
        <f t="shared" si="4"/>
        <v>0</v>
      </c>
      <c r="J17" s="52">
        <f t="shared" si="5"/>
        <v>0</v>
      </c>
      <c r="K17" s="63">
        <f>ABS(J17*'Assumed Values'!$C$12)</f>
        <v>0</v>
      </c>
      <c r="L17" s="81">
        <f t="shared" si="0"/>
        <v>0</v>
      </c>
      <c r="M17" s="64">
        <f>((('Inputs &amp; Outputs'!$B$16-'Inputs &amp; Outputs'!$B$17)*$B$5*'Inputs &amp; Outputs'!$B$22)+(('Inputs &amp; Outputs'!$B$16-'Inputs &amp; Outputs'!$B$17)*$B$5*'Inputs &amp; Outputs'!$B$21))</f>
        <v>88780.419729480345</v>
      </c>
      <c r="N17" s="52">
        <f t="shared" si="6"/>
        <v>116219.87742339214</v>
      </c>
      <c r="O17" s="52">
        <f t="shared" si="1"/>
        <v>0</v>
      </c>
      <c r="P17" s="52">
        <f t="shared" si="7"/>
        <v>0</v>
      </c>
      <c r="Q17" s="65">
        <f>ABS(P17*'Assumed Values'!$C$11)</f>
        <v>0</v>
      </c>
      <c r="R17" s="79">
        <f t="shared" si="2"/>
        <v>0</v>
      </c>
      <c r="T17" s="62"/>
    </row>
    <row r="18" spans="4:20" x14ac:dyDescent="0.25">
      <c r="D18" s="50">
        <f t="shared" si="3"/>
        <v>2032</v>
      </c>
      <c r="E18" s="62">
        <f>IF(AND(D18&gt;='Inputs &amp; Outputs'!B$13,D18&lt;'Inputs &amp; Outputs'!B$13+'Inputs &amp; Outputs'!B$15),1,0)</f>
        <v>0</v>
      </c>
      <c r="F18" s="86">
        <f>('Inputs &amp; Outputs'!$B$26/'Inputs &amp; Outputs'!$B$25)^(1/(2045-2025))-1</f>
        <v>1.6524279928542773E-2</v>
      </c>
      <c r="G18" s="52">
        <f>((('Inputs &amp; Outputs'!$B$16-'Inputs &amp; Outputs'!$B$17)*$B$4*'Inputs &amp; Outputs'!$B$22)+(('Inputs &amp; Outputs'!$B$16-'Inputs &amp; Outputs'!$B$17)*$B$4*'Inputs &amp; Outputs'!$B$21))</f>
        <v>599479.16072021704</v>
      </c>
      <c r="H18" s="52">
        <f t="shared" si="8"/>
        <v>826851.44782340724</v>
      </c>
      <c r="I18" s="52">
        <f t="shared" si="4"/>
        <v>0</v>
      </c>
      <c r="J18" s="52">
        <f t="shared" si="5"/>
        <v>0</v>
      </c>
      <c r="K18" s="63">
        <f>ABS(J18*'Assumed Values'!$C$12)</f>
        <v>0</v>
      </c>
      <c r="L18" s="81">
        <f t="shared" si="0"/>
        <v>0</v>
      </c>
      <c r="M18" s="64">
        <f>((('Inputs &amp; Outputs'!$B$16-'Inputs &amp; Outputs'!$B$17)*$B$5*'Inputs &amp; Outputs'!$B$22)+(('Inputs &amp; Outputs'!$B$16-'Inputs &amp; Outputs'!$B$17)*$B$5*'Inputs &amp; Outputs'!$B$21))</f>
        <v>88780.419729480345</v>
      </c>
      <c r="N18" s="52">
        <f t="shared" si="6"/>
        <v>117686.9099311756</v>
      </c>
      <c r="O18" s="52">
        <f t="shared" si="1"/>
        <v>0</v>
      </c>
      <c r="P18" s="52">
        <f t="shared" si="7"/>
        <v>0</v>
      </c>
      <c r="Q18" s="65">
        <f>ABS(P18*'Assumed Values'!$C$11)</f>
        <v>0</v>
      </c>
      <c r="R18" s="79">
        <f t="shared" si="2"/>
        <v>0</v>
      </c>
      <c r="T18" s="62"/>
    </row>
    <row r="19" spans="4:20" x14ac:dyDescent="0.25">
      <c r="D19" s="13">
        <f t="shared" si="3"/>
        <v>2033</v>
      </c>
      <c r="E19" s="62">
        <f>IF(AND(D19&gt;='Inputs &amp; Outputs'!B$13,D19&lt;'Inputs &amp; Outputs'!B$13+'Inputs &amp; Outputs'!B$15),1,0)</f>
        <v>0</v>
      </c>
      <c r="F19" s="86">
        <f>('Inputs &amp; Outputs'!$B$26/'Inputs &amp; Outputs'!$B$25)^(1/(2045-2025))-1</f>
        <v>1.6524279928542773E-2</v>
      </c>
      <c r="G19" s="52">
        <f>((('Inputs &amp; Outputs'!$B$16-'Inputs &amp; Outputs'!$B$17)*$B$4*'Inputs &amp; Outputs'!$B$22)+(('Inputs &amp; Outputs'!$B$16-'Inputs &amp; Outputs'!$B$17)*$B$4*'Inputs &amp; Outputs'!$B$21))</f>
        <v>599479.16072021704</v>
      </c>
      <c r="H19" s="52">
        <f t="shared" si="8"/>
        <v>840514.57260656205</v>
      </c>
      <c r="I19" s="52">
        <f t="shared" si="4"/>
        <v>0</v>
      </c>
      <c r="J19" s="52">
        <f t="shared" si="5"/>
        <v>0</v>
      </c>
      <c r="K19" s="63">
        <f>ABS(J19*'Assumed Values'!$C$12)</f>
        <v>0</v>
      </c>
      <c r="L19" s="81">
        <f t="shared" si="0"/>
        <v>0</v>
      </c>
      <c r="M19" s="64">
        <f>((('Inputs &amp; Outputs'!$B$16-'Inputs &amp; Outputs'!$B$17)*$B$5*'Inputs &amp; Outputs'!$B$22)+(('Inputs &amp; Outputs'!$B$16-'Inputs &amp; Outputs'!$B$17)*$B$5*'Inputs &amp; Outputs'!$B$21))</f>
        <v>88780.419729480345</v>
      </c>
      <c r="N19" s="52">
        <f t="shared" si="6"/>
        <v>119153.94243895906</v>
      </c>
      <c r="O19" s="52">
        <f t="shared" si="1"/>
        <v>0</v>
      </c>
      <c r="P19" s="52">
        <f t="shared" si="7"/>
        <v>0</v>
      </c>
      <c r="Q19" s="65">
        <f>ABS(P19*'Assumed Values'!$C$11)</f>
        <v>0</v>
      </c>
      <c r="R19" s="79">
        <f t="shared" si="2"/>
        <v>0</v>
      </c>
      <c r="T19" s="62"/>
    </row>
    <row r="20" spans="4:20" x14ac:dyDescent="0.25">
      <c r="D20" s="50">
        <f t="shared" si="3"/>
        <v>2034</v>
      </c>
      <c r="E20" s="62">
        <f>IF(AND(D20&gt;='Inputs &amp; Outputs'!B$13,D20&lt;'Inputs &amp; Outputs'!B$13+'Inputs &amp; Outputs'!B$15),1,0)</f>
        <v>0</v>
      </c>
      <c r="F20" s="86">
        <f>('Inputs &amp; Outputs'!$B$26/'Inputs &amp; Outputs'!$B$25)^(1/(2045-2025))-1</f>
        <v>1.6524279928542773E-2</v>
      </c>
      <c r="G20" s="52">
        <f>((('Inputs &amp; Outputs'!$B$16-'Inputs &amp; Outputs'!$B$17)*$B$4*'Inputs &amp; Outputs'!$B$22)+(('Inputs &amp; Outputs'!$B$16-'Inputs &amp; Outputs'!$B$17)*$B$4*'Inputs &amp; Outputs'!$B$21))</f>
        <v>599479.16072021704</v>
      </c>
      <c r="H20" s="52">
        <f t="shared" si="8"/>
        <v>854403.47068833234</v>
      </c>
      <c r="I20" s="52">
        <f t="shared" si="4"/>
        <v>0</v>
      </c>
      <c r="J20" s="52">
        <f t="shared" si="5"/>
        <v>0</v>
      </c>
      <c r="K20" s="63">
        <f>ABS(J20*'Assumed Values'!$C$12)</f>
        <v>0</v>
      </c>
      <c r="L20" s="81">
        <f t="shared" si="0"/>
        <v>0</v>
      </c>
      <c r="M20" s="64">
        <f>((('Inputs &amp; Outputs'!$B$16-'Inputs &amp; Outputs'!$B$17)*$B$5*'Inputs &amp; Outputs'!$B$22)+(('Inputs &amp; Outputs'!$B$16-'Inputs &amp; Outputs'!$B$17)*$B$5*'Inputs &amp; Outputs'!$B$21))</f>
        <v>88780.419729480345</v>
      </c>
      <c r="N20" s="52">
        <f t="shared" si="6"/>
        <v>120620.97494674251</v>
      </c>
      <c r="O20" s="52">
        <f t="shared" si="1"/>
        <v>0</v>
      </c>
      <c r="P20" s="52">
        <f t="shared" si="7"/>
        <v>0</v>
      </c>
      <c r="Q20" s="65">
        <f>ABS(P20*'Assumed Values'!$C$11)</f>
        <v>0</v>
      </c>
      <c r="R20" s="79">
        <f t="shared" si="2"/>
        <v>0</v>
      </c>
      <c r="T20" s="62"/>
    </row>
    <row r="21" spans="4:20" x14ac:dyDescent="0.25">
      <c r="D21" s="13">
        <f t="shared" si="3"/>
        <v>2035</v>
      </c>
      <c r="E21" s="62">
        <f>IF(AND(D21&gt;='Inputs &amp; Outputs'!B$13,D21&lt;'Inputs &amp; Outputs'!B$13+'Inputs &amp; Outputs'!B$15),1,0)</f>
        <v>0</v>
      </c>
      <c r="F21" s="86">
        <f>('Inputs &amp; Outputs'!$B$26/'Inputs &amp; Outputs'!$B$25)^(1/(2045-2025))-1</f>
        <v>1.6524279928542773E-2</v>
      </c>
      <c r="G21" s="52">
        <f>((('Inputs &amp; Outputs'!$B$16-'Inputs &amp; Outputs'!$B$17)*$B$4*'Inputs &amp; Outputs'!$B$22)+(('Inputs &amp; Outputs'!$B$16-'Inputs &amp; Outputs'!$B$17)*$B$4*'Inputs &amp; Outputs'!$B$21))</f>
        <v>599479.16072021704</v>
      </c>
      <c r="H21" s="52">
        <f t="shared" si="8"/>
        <v>868521.87280990486</v>
      </c>
      <c r="I21" s="52">
        <f t="shared" si="4"/>
        <v>0</v>
      </c>
      <c r="J21" s="52">
        <f t="shared" si="5"/>
        <v>0</v>
      </c>
      <c r="K21" s="63">
        <f>ABS(J21*'Assumed Values'!$C$12)</f>
        <v>0</v>
      </c>
      <c r="L21" s="81">
        <f t="shared" si="0"/>
        <v>0</v>
      </c>
      <c r="M21" s="64">
        <f>((('Inputs &amp; Outputs'!$B$16-'Inputs &amp; Outputs'!$B$17)*$B$5*'Inputs &amp; Outputs'!$B$22)+(('Inputs &amp; Outputs'!$B$16-'Inputs &amp; Outputs'!$B$17)*$B$5*'Inputs &amp; Outputs'!$B$21))</f>
        <v>88780.419729480345</v>
      </c>
      <c r="N21" s="52">
        <f t="shared" si="6"/>
        <v>122088.00745452597</v>
      </c>
      <c r="O21" s="52">
        <f t="shared" si="1"/>
        <v>0</v>
      </c>
      <c r="P21" s="52">
        <f t="shared" si="7"/>
        <v>0</v>
      </c>
      <c r="Q21" s="65">
        <f>ABS(P21*'Assumed Values'!$C$11)</f>
        <v>0</v>
      </c>
      <c r="R21" s="79">
        <f t="shared" si="2"/>
        <v>0</v>
      </c>
      <c r="T21" s="62"/>
    </row>
    <row r="22" spans="4:20" x14ac:dyDescent="0.25">
      <c r="D22" s="50">
        <f t="shared" si="3"/>
        <v>2036</v>
      </c>
      <c r="E22" s="62">
        <f>IF(AND(D22&gt;='Inputs &amp; Outputs'!B$13,D22&lt;'Inputs &amp; Outputs'!B$13+'Inputs &amp; Outputs'!B$15),1,0)</f>
        <v>0</v>
      </c>
      <c r="F22" s="86">
        <f>('Inputs &amp; Outputs'!$B$26/'Inputs &amp; Outputs'!$B$25)^(1/(2045-2025))-1</f>
        <v>1.6524279928542773E-2</v>
      </c>
      <c r="G22" s="52">
        <f>((('Inputs &amp; Outputs'!$B$16-'Inputs &amp; Outputs'!$B$17)*$B$4*'Inputs &amp; Outputs'!$B$22)+(('Inputs &amp; Outputs'!$B$16-'Inputs &amp; Outputs'!$B$17)*$B$4*'Inputs &amp; Outputs'!$B$21))</f>
        <v>599479.16072021704</v>
      </c>
      <c r="H22" s="52">
        <f t="shared" si="8"/>
        <v>882873.57136027794</v>
      </c>
      <c r="I22" s="52">
        <f t="shared" si="4"/>
        <v>0</v>
      </c>
      <c r="J22" s="52">
        <f t="shared" si="5"/>
        <v>0</v>
      </c>
      <c r="K22" s="63">
        <f>ABS(J22*'Assumed Values'!$C$12)</f>
        <v>0</v>
      </c>
      <c r="L22" s="81">
        <f t="shared" si="0"/>
        <v>0</v>
      </c>
      <c r="M22" s="64">
        <f>((('Inputs &amp; Outputs'!$B$16-'Inputs &amp; Outputs'!$B$17)*$B$5*'Inputs &amp; Outputs'!$B$22)+(('Inputs &amp; Outputs'!$B$16-'Inputs &amp; Outputs'!$B$17)*$B$5*'Inputs &amp; Outputs'!$B$21))</f>
        <v>88780.419729480345</v>
      </c>
      <c r="N22" s="52">
        <f t="shared" si="6"/>
        <v>123555.03996230943</v>
      </c>
      <c r="O22" s="52">
        <f t="shared" si="1"/>
        <v>0</v>
      </c>
      <c r="P22" s="52">
        <f t="shared" si="7"/>
        <v>0</v>
      </c>
      <c r="Q22" s="65">
        <f>ABS(P22*'Assumed Values'!$C$11)</f>
        <v>0</v>
      </c>
      <c r="R22" s="79">
        <f t="shared" si="2"/>
        <v>0</v>
      </c>
      <c r="T22" s="62"/>
    </row>
    <row r="23" spans="4:20" x14ac:dyDescent="0.25">
      <c r="D23" s="13">
        <f t="shared" si="3"/>
        <v>2037</v>
      </c>
      <c r="E23" s="62">
        <f>IF(AND(D23&gt;='Inputs &amp; Outputs'!B$13,D23&lt;'Inputs &amp; Outputs'!B$13+'Inputs &amp; Outputs'!B$15),1,0)</f>
        <v>0</v>
      </c>
      <c r="F23" s="86">
        <f>('Inputs &amp; Outputs'!$B$26/'Inputs &amp; Outputs'!$B$25)^(1/(2045-2025))-1</f>
        <v>1.6524279928542773E-2</v>
      </c>
      <c r="G23" s="52">
        <f>((('Inputs &amp; Outputs'!$B$16-'Inputs &amp; Outputs'!$B$17)*$B$4*'Inputs &amp; Outputs'!$B$22)+(('Inputs &amp; Outputs'!$B$16-'Inputs &amp; Outputs'!$B$17)*$B$4*'Inputs &amp; Outputs'!$B$21))</f>
        <v>599479.16072021704</v>
      </c>
      <c r="H23" s="52">
        <f t="shared" si="8"/>
        <v>897462.42139494745</v>
      </c>
      <c r="I23" s="52">
        <f t="shared" si="4"/>
        <v>0</v>
      </c>
      <c r="J23" s="52">
        <f t="shared" si="5"/>
        <v>0</v>
      </c>
      <c r="K23" s="63">
        <f>ABS(J23*'Assumed Values'!$C$12)</f>
        <v>0</v>
      </c>
      <c r="L23" s="81">
        <f t="shared" si="0"/>
        <v>0</v>
      </c>
      <c r="M23" s="64">
        <f>((('Inputs &amp; Outputs'!$B$16-'Inputs &amp; Outputs'!$B$17)*$B$5*'Inputs &amp; Outputs'!$B$22)+(('Inputs &amp; Outputs'!$B$16-'Inputs &amp; Outputs'!$B$17)*$B$5*'Inputs &amp; Outputs'!$B$21))</f>
        <v>88780.419729480345</v>
      </c>
      <c r="N23" s="52">
        <f t="shared" si="6"/>
        <v>125022.07247009288</v>
      </c>
      <c r="O23" s="52">
        <f t="shared" si="1"/>
        <v>0</v>
      </c>
      <c r="P23" s="52">
        <f t="shared" si="7"/>
        <v>0</v>
      </c>
      <c r="Q23" s="65">
        <f>ABS(P23*'Assumed Values'!$C$11)</f>
        <v>0</v>
      </c>
      <c r="R23" s="79">
        <f t="shared" si="2"/>
        <v>0</v>
      </c>
      <c r="T23" s="62"/>
    </row>
    <row r="24" spans="4:20" x14ac:dyDescent="0.25">
      <c r="D24" s="50">
        <f t="shared" si="3"/>
        <v>2038</v>
      </c>
      <c r="E24" s="62">
        <f>IF(AND(D24&gt;='Inputs &amp; Outputs'!B$13,D24&lt;'Inputs &amp; Outputs'!B$13+'Inputs &amp; Outputs'!B$15),1,0)</f>
        <v>0</v>
      </c>
      <c r="F24" s="86">
        <f>('Inputs &amp; Outputs'!$B$26/'Inputs &amp; Outputs'!$B$25)^(1/(2045-2025))-1</f>
        <v>1.6524279928542773E-2</v>
      </c>
      <c r="G24" s="52">
        <f>((('Inputs &amp; Outputs'!$B$16-'Inputs &amp; Outputs'!$B$17)*$B$4*'Inputs &amp; Outputs'!$B$22)+(('Inputs &amp; Outputs'!$B$16-'Inputs &amp; Outputs'!$B$17)*$B$4*'Inputs &amp; Outputs'!$B$21))</f>
        <v>599479.16072021704</v>
      </c>
      <c r="H24" s="52">
        <f t="shared" si="8"/>
        <v>912292.34167142538</v>
      </c>
      <c r="I24" s="52">
        <f t="shared" si="4"/>
        <v>0</v>
      </c>
      <c r="J24" s="52">
        <f t="shared" si="5"/>
        <v>0</v>
      </c>
      <c r="K24" s="63">
        <f>ABS(J24*'Assumed Values'!$C$12)</f>
        <v>0</v>
      </c>
      <c r="L24" s="81">
        <f t="shared" si="0"/>
        <v>0</v>
      </c>
      <c r="M24" s="64">
        <f>((('Inputs &amp; Outputs'!$B$16-'Inputs &amp; Outputs'!$B$17)*$B$5*'Inputs &amp; Outputs'!$B$22)+(('Inputs &amp; Outputs'!$B$16-'Inputs &amp; Outputs'!$B$17)*$B$5*'Inputs &amp; Outputs'!$B$21))</f>
        <v>88780.419729480345</v>
      </c>
      <c r="N24" s="52">
        <f t="shared" si="6"/>
        <v>126489.10497787634</v>
      </c>
      <c r="O24" s="52">
        <f t="shared" si="1"/>
        <v>0</v>
      </c>
      <c r="P24" s="52">
        <f t="shared" si="7"/>
        <v>0</v>
      </c>
      <c r="Q24" s="65">
        <f>ABS(P24*'Assumed Values'!$C$11)</f>
        <v>0</v>
      </c>
      <c r="R24" s="79">
        <f t="shared" si="2"/>
        <v>0</v>
      </c>
      <c r="T24" s="62"/>
    </row>
    <row r="25" spans="4:20" x14ac:dyDescent="0.25">
      <c r="D25" s="13">
        <f t="shared" si="3"/>
        <v>2039</v>
      </c>
      <c r="E25" s="62">
        <f>IF(AND(D25&gt;='Inputs &amp; Outputs'!B$13,D25&lt;'Inputs &amp; Outputs'!B$13+'Inputs &amp; Outputs'!B$15),1,0)</f>
        <v>0</v>
      </c>
      <c r="F25" s="86">
        <f>('Inputs &amp; Outputs'!$B$26/'Inputs &amp; Outputs'!$B$25)^(1/(2045-2025))-1</f>
        <v>1.6524279928542773E-2</v>
      </c>
      <c r="G25" s="52">
        <f>((('Inputs &amp; Outputs'!$B$16-'Inputs &amp; Outputs'!$B$17)*$B$4*'Inputs &amp; Outputs'!$B$22)+(('Inputs &amp; Outputs'!$B$16-'Inputs &amp; Outputs'!$B$17)*$B$4*'Inputs &amp; Outputs'!$B$21))</f>
        <v>599479.16072021704</v>
      </c>
      <c r="H25" s="52">
        <f t="shared" si="8"/>
        <v>927367.31570186978</v>
      </c>
      <c r="I25" s="52">
        <f t="shared" si="4"/>
        <v>0</v>
      </c>
      <c r="J25" s="52">
        <f t="shared" si="5"/>
        <v>0</v>
      </c>
      <c r="K25" s="63">
        <f>ABS(J25*'Assumed Values'!$C$12)</f>
        <v>0</v>
      </c>
      <c r="L25" s="81">
        <f t="shared" si="0"/>
        <v>0</v>
      </c>
      <c r="M25" s="64">
        <f>((('Inputs &amp; Outputs'!$B$16-'Inputs &amp; Outputs'!$B$17)*$B$5*'Inputs &amp; Outputs'!$B$22)+(('Inputs &amp; Outputs'!$B$16-'Inputs &amp; Outputs'!$B$17)*$B$5*'Inputs &amp; Outputs'!$B$21))</f>
        <v>88780.419729480345</v>
      </c>
      <c r="N25" s="52">
        <f t="shared" si="6"/>
        <v>127956.1374856598</v>
      </c>
      <c r="O25" s="52">
        <f t="shared" si="1"/>
        <v>0</v>
      </c>
      <c r="P25" s="52">
        <f t="shared" si="7"/>
        <v>0</v>
      </c>
      <c r="Q25" s="65">
        <f>ABS(P25*'Assumed Values'!$C$11)</f>
        <v>0</v>
      </c>
      <c r="R25" s="79">
        <f t="shared" si="2"/>
        <v>0</v>
      </c>
      <c r="T25" s="62"/>
    </row>
    <row r="26" spans="4:20" x14ac:dyDescent="0.25">
      <c r="D26" s="50">
        <f t="shared" si="3"/>
        <v>2040</v>
      </c>
      <c r="E26" s="62">
        <f>IF(AND(D26&gt;='Inputs &amp; Outputs'!B$13,D26&lt;'Inputs &amp; Outputs'!B$13+'Inputs &amp; Outputs'!B$15),1,0)</f>
        <v>0</v>
      </c>
      <c r="F26" s="86">
        <f>('Inputs &amp; Outputs'!$B$26/'Inputs &amp; Outputs'!$B$25)^(1/(2045-2025))-1</f>
        <v>1.6524279928542773E-2</v>
      </c>
      <c r="G26" s="52">
        <f>((('Inputs &amp; Outputs'!$B$16-'Inputs &amp; Outputs'!$B$17)*$B$4*'Inputs &amp; Outputs'!$B$22)+(('Inputs &amp; Outputs'!$B$16-'Inputs &amp; Outputs'!$B$17)*$B$4*'Inputs &amp; Outputs'!$B$21))</f>
        <v>599479.16072021704</v>
      </c>
      <c r="H26" s="52">
        <f t="shared" si="8"/>
        <v>942691.39282310882</v>
      </c>
      <c r="I26" s="52">
        <f t="shared" si="4"/>
        <v>0</v>
      </c>
      <c r="J26" s="52">
        <f t="shared" si="5"/>
        <v>0</v>
      </c>
      <c r="K26" s="63">
        <f>ABS(J26*'Assumed Values'!$C$12)</f>
        <v>0</v>
      </c>
      <c r="L26" s="81">
        <f t="shared" si="0"/>
        <v>0</v>
      </c>
      <c r="M26" s="64">
        <f>((('Inputs &amp; Outputs'!$B$16-'Inputs &amp; Outputs'!$B$17)*$B$5*'Inputs &amp; Outputs'!$B$22)+(('Inputs &amp; Outputs'!$B$16-'Inputs &amp; Outputs'!$B$17)*$B$5*'Inputs &amp; Outputs'!$B$21))</f>
        <v>88780.419729480345</v>
      </c>
      <c r="N26" s="52">
        <f t="shared" si="6"/>
        <v>129423.16999344325</v>
      </c>
      <c r="O26" s="52">
        <f t="shared" si="1"/>
        <v>0</v>
      </c>
      <c r="P26" s="52">
        <f t="shared" si="7"/>
        <v>0</v>
      </c>
      <c r="Q26" s="65">
        <f>ABS(P26*'Assumed Values'!$C$11)</f>
        <v>0</v>
      </c>
      <c r="R26" s="79">
        <f t="shared" si="2"/>
        <v>0</v>
      </c>
      <c r="T26" s="62"/>
    </row>
    <row r="27" spans="4:20" x14ac:dyDescent="0.25">
      <c r="D27" s="13">
        <f t="shared" si="3"/>
        <v>2041</v>
      </c>
      <c r="E27" s="62">
        <f>IF(AND(D27&gt;='Inputs &amp; Outputs'!B$13,D27&lt;'Inputs &amp; Outputs'!B$13+'Inputs &amp; Outputs'!B$15),1,0)</f>
        <v>0</v>
      </c>
      <c r="F27" s="86">
        <f>('Inputs &amp; Outputs'!$B$26/'Inputs &amp; Outputs'!$B$25)^(1/(2045-2025))-1</f>
        <v>1.6524279928542773E-2</v>
      </c>
      <c r="G27" s="52">
        <f>((('Inputs &amp; Outputs'!$B$16-'Inputs &amp; Outputs'!$B$17)*$B$4*'Inputs &amp; Outputs'!$B$22)+(('Inputs &amp; Outputs'!$B$16-'Inputs &amp; Outputs'!$B$17)*$B$4*'Inputs &amp; Outputs'!$B$21))</f>
        <v>599479.16072021704</v>
      </c>
      <c r="H27" s="52">
        <f t="shared" si="8"/>
        <v>958268.68928434572</v>
      </c>
      <c r="I27" s="52">
        <f t="shared" si="4"/>
        <v>0</v>
      </c>
      <c r="J27" s="52">
        <f t="shared" si="5"/>
        <v>0</v>
      </c>
      <c r="K27" s="63">
        <f>ABS(J27*'Assumed Values'!$C$12)</f>
        <v>0</v>
      </c>
      <c r="L27" s="81">
        <f t="shared" si="0"/>
        <v>0</v>
      </c>
      <c r="M27" s="64">
        <f>((('Inputs &amp; Outputs'!$B$16-'Inputs &amp; Outputs'!$B$17)*$B$5*'Inputs &amp; Outputs'!$B$22)+(('Inputs &amp; Outputs'!$B$16-'Inputs &amp; Outputs'!$B$17)*$B$5*'Inputs &amp; Outputs'!$B$21))</f>
        <v>88780.419729480345</v>
      </c>
      <c r="N27" s="52">
        <f t="shared" si="6"/>
        <v>130890.20250122671</v>
      </c>
      <c r="O27" s="52">
        <f t="shared" si="1"/>
        <v>0</v>
      </c>
      <c r="P27" s="52">
        <f t="shared" si="7"/>
        <v>0</v>
      </c>
      <c r="Q27" s="65">
        <f>ABS(P27*'Assumed Values'!$C$11)</f>
        <v>0</v>
      </c>
      <c r="R27" s="79">
        <f t="shared" si="2"/>
        <v>0</v>
      </c>
      <c r="T27" s="62"/>
    </row>
    <row r="28" spans="4:20" x14ac:dyDescent="0.25">
      <c r="D28" s="50">
        <f t="shared" si="3"/>
        <v>2042</v>
      </c>
      <c r="E28" s="62">
        <f>IF(AND(D28&gt;='Inputs &amp; Outputs'!B$13,D28&lt;'Inputs &amp; Outputs'!B$13+'Inputs &amp; Outputs'!B$15),1,0)</f>
        <v>0</v>
      </c>
      <c r="F28" s="86">
        <f>('Inputs &amp; Outputs'!$B$26/'Inputs &amp; Outputs'!$B$25)^(1/(2045-2025))-1</f>
        <v>1.6524279928542773E-2</v>
      </c>
      <c r="G28" s="52">
        <f>((('Inputs &amp; Outputs'!$B$16-'Inputs &amp; Outputs'!$B$17)*$B$4*'Inputs &amp; Outputs'!$B$22)+(('Inputs &amp; Outputs'!$B$16-'Inputs &amp; Outputs'!$B$17)*$B$4*'Inputs &amp; Outputs'!$B$21))</f>
        <v>599479.16072021704</v>
      </c>
      <c r="H28" s="52">
        <f t="shared" si="8"/>
        <v>974103.38935283804</v>
      </c>
      <c r="I28" s="52">
        <f t="shared" si="4"/>
        <v>0</v>
      </c>
      <c r="J28" s="52">
        <f t="shared" si="5"/>
        <v>0</v>
      </c>
      <c r="K28" s="63">
        <f>ABS(J28*'Assumed Values'!$C$12)</f>
        <v>0</v>
      </c>
      <c r="L28" s="81">
        <f t="shared" si="0"/>
        <v>0</v>
      </c>
      <c r="M28" s="64">
        <f>((('Inputs &amp; Outputs'!$B$16-'Inputs &amp; Outputs'!$B$17)*$B$5*'Inputs &amp; Outputs'!$B$22)+(('Inputs &amp; Outputs'!$B$16-'Inputs &amp; Outputs'!$B$17)*$B$5*'Inputs &amp; Outputs'!$B$21))</f>
        <v>88780.419729480345</v>
      </c>
      <c r="N28" s="52">
        <f t="shared" si="6"/>
        <v>132357.23500901015</v>
      </c>
      <c r="O28" s="52">
        <f t="shared" si="1"/>
        <v>0</v>
      </c>
      <c r="P28" s="52">
        <f t="shared" si="7"/>
        <v>0</v>
      </c>
      <c r="Q28" s="65">
        <f>ABS(P28*'Assumed Values'!$C$11)</f>
        <v>0</v>
      </c>
      <c r="R28" s="79">
        <f t="shared" si="2"/>
        <v>0</v>
      </c>
      <c r="T28" s="62"/>
    </row>
    <row r="29" spans="4:20" x14ac:dyDescent="0.25">
      <c r="D29" s="13">
        <f t="shared" si="3"/>
        <v>2043</v>
      </c>
      <c r="E29" s="62">
        <f>IF(AND(D29&gt;='Inputs &amp; Outputs'!B$13,D29&lt;'Inputs &amp; Outputs'!B$13+'Inputs &amp; Outputs'!B$15),1,0)</f>
        <v>0</v>
      </c>
      <c r="F29" s="86">
        <f>('Inputs &amp; Outputs'!$B$26/'Inputs &amp; Outputs'!$B$25)^(1/(2045-2025))-1</f>
        <v>1.6524279928542773E-2</v>
      </c>
      <c r="G29" s="52">
        <f>((('Inputs &amp; Outputs'!$B$16-'Inputs &amp; Outputs'!$B$17)*$B$4*'Inputs &amp; Outputs'!$B$22)+(('Inputs &amp; Outputs'!$B$16-'Inputs &amp; Outputs'!$B$17)*$B$4*'Inputs &amp; Outputs'!$B$21))</f>
        <v>599479.16072021704</v>
      </c>
      <c r="H29" s="52">
        <f t="shared" si="8"/>
        <v>990199.74643784668</v>
      </c>
      <c r="I29" s="52">
        <f t="shared" si="4"/>
        <v>0</v>
      </c>
      <c r="J29" s="52">
        <f t="shared" si="5"/>
        <v>0</v>
      </c>
      <c r="K29" s="63">
        <f>ABS(J29*'Assumed Values'!$C$12)</f>
        <v>0</v>
      </c>
      <c r="L29" s="81">
        <f t="shared" si="0"/>
        <v>0</v>
      </c>
      <c r="M29" s="64">
        <f>((('Inputs &amp; Outputs'!$B$16-'Inputs &amp; Outputs'!$B$17)*$B$5*'Inputs &amp; Outputs'!$B$22)+(('Inputs &amp; Outputs'!$B$16-'Inputs &amp; Outputs'!$B$17)*$B$5*'Inputs &amp; Outputs'!$B$21))</f>
        <v>88780.419729480345</v>
      </c>
      <c r="N29" s="52">
        <f t="shared" si="6"/>
        <v>133824.2675167936</v>
      </c>
      <c r="O29" s="52">
        <f t="shared" si="1"/>
        <v>0</v>
      </c>
      <c r="P29" s="52">
        <f t="shared" si="7"/>
        <v>0</v>
      </c>
      <c r="Q29" s="65">
        <f>ABS(P29*'Assumed Values'!$C$11)</f>
        <v>0</v>
      </c>
      <c r="R29" s="79">
        <f t="shared" si="2"/>
        <v>0</v>
      </c>
      <c r="T29" s="62"/>
    </row>
    <row r="30" spans="4:20" x14ac:dyDescent="0.25">
      <c r="D30" s="13">
        <f t="shared" si="3"/>
        <v>2044</v>
      </c>
      <c r="E30" s="62">
        <f>IF(AND(D30&gt;='Inputs &amp; Outputs'!B$13,D30&lt;'Inputs &amp; Outputs'!B$13+'Inputs &amp; Outputs'!B$15),1,0)</f>
        <v>0</v>
      </c>
      <c r="F30" s="86">
        <f>('Inputs &amp; Outputs'!$B$26/'Inputs &amp; Outputs'!$B$25)^(1/(2045-2025))-1</f>
        <v>1.6524279928542773E-2</v>
      </c>
      <c r="G30" s="52">
        <f>((('Inputs &amp; Outputs'!$B$16-'Inputs &amp; Outputs'!$B$17)*$B$4*'Inputs &amp; Outputs'!$B$22)+(('Inputs &amp; Outputs'!$B$16-'Inputs &amp; Outputs'!$B$17)*$B$4*'Inputs &amp; Outputs'!$B$21))</f>
        <v>599479.16072021704</v>
      </c>
      <c r="H30" s="52">
        <f t="shared" si="8"/>
        <v>1006562.0842331577</v>
      </c>
      <c r="I30" s="52">
        <f t="shared" si="4"/>
        <v>0</v>
      </c>
      <c r="J30" s="52">
        <f t="shared" si="5"/>
        <v>0</v>
      </c>
      <c r="K30" s="63">
        <f>ABS(J30*'Assumed Values'!$C$12)</f>
        <v>0</v>
      </c>
      <c r="L30" s="81">
        <f t="shared" si="0"/>
        <v>0</v>
      </c>
      <c r="M30" s="64">
        <f>((('Inputs &amp; Outputs'!$B$16-'Inputs &amp; Outputs'!$B$17)*$B$5*'Inputs &amp; Outputs'!$B$22)+(('Inputs &amp; Outputs'!$B$16-'Inputs &amp; Outputs'!$B$17)*$B$5*'Inputs &amp; Outputs'!$B$21))</f>
        <v>88780.419729480345</v>
      </c>
      <c r="N30" s="52">
        <f t="shared" si="6"/>
        <v>135291.30002457704</v>
      </c>
      <c r="O30" s="52">
        <f t="shared" si="1"/>
        <v>0</v>
      </c>
      <c r="P30" s="52">
        <f t="shared" si="7"/>
        <v>0</v>
      </c>
      <c r="Q30" s="65">
        <f>ABS(P30*'Assumed Values'!$C$11)</f>
        <v>0</v>
      </c>
      <c r="R30" s="79">
        <f t="shared" si="2"/>
        <v>0</v>
      </c>
      <c r="T30" s="62"/>
    </row>
    <row r="31" spans="4:20" x14ac:dyDescent="0.25">
      <c r="D31" s="13">
        <f t="shared" si="3"/>
        <v>2045</v>
      </c>
      <c r="E31" s="62">
        <f>IF(AND(D31&gt;='Inputs &amp; Outputs'!B$13,D31&lt;'Inputs &amp; Outputs'!B$13+'Inputs &amp; Outputs'!B$15),1,0)</f>
        <v>0</v>
      </c>
      <c r="F31" s="86">
        <f>('Inputs &amp; Outputs'!$B$26/'Inputs &amp; Outputs'!$B$25)^(1/(2045-2025))-1</f>
        <v>1.6524279928542773E-2</v>
      </c>
      <c r="G31" s="52">
        <f>((('Inputs &amp; Outputs'!$B$16-'Inputs &amp; Outputs'!$B$17)*$B$4*'Inputs &amp; Outputs'!$B$22)+(('Inputs &amp; Outputs'!$B$16-'Inputs &amp; Outputs'!$B$17)*$B$4*'Inputs &amp; Outputs'!$B$21))</f>
        <v>599479.16072021704</v>
      </c>
      <c r="H31" s="52">
        <f t="shared" si="8"/>
        <v>1023194.7978784838</v>
      </c>
      <c r="I31" s="52">
        <f t="shared" si="4"/>
        <v>0</v>
      </c>
      <c r="J31" s="52">
        <f t="shared" si="5"/>
        <v>0</v>
      </c>
      <c r="K31" s="63">
        <f>ABS(J31*'Assumed Values'!$C$12)</f>
        <v>0</v>
      </c>
      <c r="L31" s="81">
        <f t="shared" si="0"/>
        <v>0</v>
      </c>
      <c r="M31" s="64">
        <f>((('Inputs &amp; Outputs'!$B$16-'Inputs &amp; Outputs'!$B$17)*$B$5*'Inputs &amp; Outputs'!$B$22)+(('Inputs &amp; Outputs'!$B$16-'Inputs &amp; Outputs'!$B$17)*$B$5*'Inputs &amp; Outputs'!$B$21))</f>
        <v>88780.419729480345</v>
      </c>
      <c r="N31" s="52">
        <f t="shared" si="6"/>
        <v>136758.33253236048</v>
      </c>
      <c r="O31" s="52">
        <f t="shared" si="1"/>
        <v>0</v>
      </c>
      <c r="P31" s="52">
        <f t="shared" si="7"/>
        <v>0</v>
      </c>
      <c r="Q31" s="65">
        <f>ABS(P31*'Assumed Values'!$C$11)</f>
        <v>0</v>
      </c>
      <c r="R31" s="79">
        <f t="shared" si="2"/>
        <v>0</v>
      </c>
      <c r="T31" s="62"/>
    </row>
    <row r="32" spans="4:20" x14ac:dyDescent="0.25">
      <c r="D32" s="13">
        <f t="shared" si="3"/>
        <v>2046</v>
      </c>
      <c r="E32" s="62">
        <f>IF(AND(D32&gt;='Inputs &amp; Outputs'!B$13,D32&lt;'Inputs &amp; Outputs'!B$13+'Inputs &amp; Outputs'!B$15),1,0)</f>
        <v>0</v>
      </c>
      <c r="F32" s="86">
        <f>('Inputs &amp; Outputs'!$B$26/'Inputs &amp; Outputs'!$B$25)^(1/(2045-2025))-1</f>
        <v>1.6524279928542773E-2</v>
      </c>
      <c r="G32" s="52">
        <f>((('Inputs &amp; Outputs'!$B$16-'Inputs &amp; Outputs'!$B$17)*$B$4*'Inputs &amp; Outputs'!$B$22)+(('Inputs &amp; Outputs'!$B$16-'Inputs &amp; Outputs'!$B$17)*$B$4*'Inputs &amp; Outputs'!$B$21))</f>
        <v>599479.16072021704</v>
      </c>
      <c r="H32" s="52">
        <f t="shared" si="8"/>
        <v>1040102.3551400566</v>
      </c>
      <c r="I32" s="52">
        <f t="shared" si="4"/>
        <v>0</v>
      </c>
      <c r="J32" s="52">
        <f t="shared" si="5"/>
        <v>0</v>
      </c>
      <c r="K32" s="63">
        <f>ABS(J32*'Assumed Values'!$C$12)</f>
        <v>0</v>
      </c>
      <c r="L32" s="81">
        <f t="shared" si="0"/>
        <v>0</v>
      </c>
      <c r="M32" s="64">
        <f>((('Inputs &amp; Outputs'!$B$16-'Inputs &amp; Outputs'!$B$17)*$B$5*'Inputs &amp; Outputs'!$B$22)+(('Inputs &amp; Outputs'!$B$16-'Inputs &amp; Outputs'!$B$17)*$B$5*'Inputs &amp; Outputs'!$B$21))</f>
        <v>88780.419729480345</v>
      </c>
      <c r="N32" s="52">
        <f t="shared" si="6"/>
        <v>138225.36504014392</v>
      </c>
      <c r="O32" s="52">
        <f t="shared" si="1"/>
        <v>0</v>
      </c>
      <c r="P32" s="52">
        <f t="shared" si="7"/>
        <v>0</v>
      </c>
      <c r="Q32" s="65">
        <f>ABS(P32*'Assumed Values'!$C$11)</f>
        <v>0</v>
      </c>
      <c r="R32" s="79">
        <f t="shared" si="2"/>
        <v>0</v>
      </c>
      <c r="T32" s="62"/>
    </row>
    <row r="33" spans="4:20" x14ac:dyDescent="0.25">
      <c r="D33" s="13">
        <f t="shared" si="3"/>
        <v>2047</v>
      </c>
      <c r="E33" s="62">
        <f>IF(AND(D33&gt;='Inputs &amp; Outputs'!B$13,D33&lt;'Inputs &amp; Outputs'!B$13+'Inputs &amp; Outputs'!B$15),1,0)</f>
        <v>0</v>
      </c>
      <c r="F33" s="86">
        <f>('Inputs &amp; Outputs'!$B$26/'Inputs &amp; Outputs'!$B$25)^(1/(2045-2025))-1</f>
        <v>1.6524279928542773E-2</v>
      </c>
      <c r="G33" s="52">
        <f>((('Inputs &amp; Outputs'!$B$16-'Inputs &amp; Outputs'!$B$17)*$B$4*'Inputs &amp; Outputs'!$B$22)+(('Inputs &amp; Outputs'!$B$16-'Inputs &amp; Outputs'!$B$17)*$B$4*'Inputs &amp; Outputs'!$B$21))</f>
        <v>599479.16072021704</v>
      </c>
      <c r="H33" s="52">
        <f t="shared" si="8"/>
        <v>1057289.2976107274</v>
      </c>
      <c r="I33" s="52">
        <f t="shared" si="4"/>
        <v>0</v>
      </c>
      <c r="J33" s="52">
        <f t="shared" si="5"/>
        <v>0</v>
      </c>
      <c r="K33" s="63">
        <f>ABS(J33*'Assumed Values'!$C$12)</f>
        <v>0</v>
      </c>
      <c r="L33" s="81">
        <f t="shared" si="0"/>
        <v>0</v>
      </c>
      <c r="M33" s="64">
        <f>((('Inputs &amp; Outputs'!$B$16-'Inputs &amp; Outputs'!$B$17)*$B$5*'Inputs &amp; Outputs'!$B$22)+(('Inputs &amp; Outputs'!$B$16-'Inputs &amp; Outputs'!$B$17)*$B$5*'Inputs &amp; Outputs'!$B$21))</f>
        <v>88780.419729480345</v>
      </c>
      <c r="N33" s="52">
        <f t="shared" si="6"/>
        <v>139692.39754792736</v>
      </c>
      <c r="O33" s="52">
        <f t="shared" si="1"/>
        <v>0</v>
      </c>
      <c r="P33" s="52">
        <f t="shared" si="7"/>
        <v>0</v>
      </c>
      <c r="Q33" s="65">
        <f>ABS(P33*'Assumed Values'!$C$11)</f>
        <v>0</v>
      </c>
      <c r="R33" s="79">
        <f t="shared" si="2"/>
        <v>0</v>
      </c>
      <c r="T33" s="62"/>
    </row>
    <row r="34" spans="4:20" x14ac:dyDescent="0.25">
      <c r="D34" s="13">
        <f t="shared" si="3"/>
        <v>2048</v>
      </c>
      <c r="E34" s="62">
        <f>IF(AND(D34&gt;='Inputs &amp; Outputs'!B$13,D34&lt;'Inputs &amp; Outputs'!B$13+'Inputs &amp; Outputs'!B$15),1,0)</f>
        <v>0</v>
      </c>
      <c r="F34" s="86">
        <f>('Inputs &amp; Outputs'!$B$26/'Inputs &amp; Outputs'!$B$25)^(1/(2045-2025))-1</f>
        <v>1.6524279928542773E-2</v>
      </c>
      <c r="G34" s="52">
        <f>((('Inputs &amp; Outputs'!$B$16-'Inputs &amp; Outputs'!$B$17)*$B$4*'Inputs &amp; Outputs'!$B$22)+(('Inputs &amp; Outputs'!$B$16-'Inputs &amp; Outputs'!$B$17)*$B$4*'Inputs &amp; Outputs'!$B$21))</f>
        <v>599479.16072021704</v>
      </c>
      <c r="H34" s="52">
        <f t="shared" si="8"/>
        <v>1074760.2419298994</v>
      </c>
      <c r="I34" s="52">
        <f t="shared" si="4"/>
        <v>0</v>
      </c>
      <c r="J34" s="52">
        <f t="shared" si="5"/>
        <v>0</v>
      </c>
      <c r="K34" s="63">
        <f>ABS(J34*'Assumed Values'!$C$12)</f>
        <v>0</v>
      </c>
      <c r="L34" s="81">
        <f t="shared" si="0"/>
        <v>0</v>
      </c>
      <c r="M34" s="64">
        <f>((('Inputs &amp; Outputs'!$B$16-'Inputs &amp; Outputs'!$B$17)*$B$5*'Inputs &amp; Outputs'!$B$22)+(('Inputs &amp; Outputs'!$B$16-'Inputs &amp; Outputs'!$B$17)*$B$5*'Inputs &amp; Outputs'!$B$21))</f>
        <v>88780.419729480345</v>
      </c>
      <c r="N34" s="52">
        <f t="shared" si="6"/>
        <v>141159.43005571081</v>
      </c>
      <c r="O34" s="52">
        <f t="shared" si="1"/>
        <v>0</v>
      </c>
      <c r="P34" s="52">
        <f t="shared" si="7"/>
        <v>0</v>
      </c>
      <c r="Q34" s="65">
        <f>ABS(P34*'Assumed Values'!$C$11)</f>
        <v>0</v>
      </c>
      <c r="R34" s="79">
        <f t="shared" si="2"/>
        <v>0</v>
      </c>
      <c r="T34" s="62"/>
    </row>
    <row r="35" spans="4:20" x14ac:dyDescent="0.25">
      <c r="D35" s="13">
        <f t="shared" si="3"/>
        <v>2049</v>
      </c>
      <c r="E35" s="62">
        <f>IF(AND(D35&gt;='Inputs &amp; Outputs'!B$13,D35&lt;'Inputs &amp; Outputs'!B$13+'Inputs &amp; Outputs'!B$15),1,0)</f>
        <v>0</v>
      </c>
      <c r="F35" s="86">
        <f>('Inputs &amp; Outputs'!$B$26/'Inputs &amp; Outputs'!$B$25)^(1/(2045-2025))-1</f>
        <v>1.6524279928542773E-2</v>
      </c>
      <c r="G35" s="52">
        <f>((('Inputs &amp; Outputs'!$B$16-'Inputs &amp; Outputs'!$B$17)*$B$4*'Inputs &amp; Outputs'!$B$22)+(('Inputs &amp; Outputs'!$B$16-'Inputs &amp; Outputs'!$B$17)*$B$4*'Inputs &amp; Outputs'!$B$21))</f>
        <v>599479.16072021704</v>
      </c>
      <c r="H35" s="52">
        <f t="shared" si="8"/>
        <v>1092519.8810236175</v>
      </c>
      <c r="I35" s="52">
        <f t="shared" si="4"/>
        <v>0</v>
      </c>
      <c r="J35" s="52">
        <f t="shared" si="5"/>
        <v>0</v>
      </c>
      <c r="K35" s="63">
        <f>ABS(J35*'Assumed Values'!$C$12)</f>
        <v>0</v>
      </c>
      <c r="L35" s="81">
        <f t="shared" si="0"/>
        <v>0</v>
      </c>
      <c r="M35" s="64">
        <f>((('Inputs &amp; Outputs'!$B$16-'Inputs &amp; Outputs'!$B$17)*$B$5*'Inputs &amp; Outputs'!$B$22)+(('Inputs &amp; Outputs'!$B$16-'Inputs &amp; Outputs'!$B$17)*$B$5*'Inputs &amp; Outputs'!$B$21))</f>
        <v>88780.419729480345</v>
      </c>
      <c r="N35" s="52">
        <f t="shared" si="6"/>
        <v>142626.46256349425</v>
      </c>
      <c r="O35" s="52">
        <f t="shared" si="1"/>
        <v>0</v>
      </c>
      <c r="P35" s="52">
        <f t="shared" si="7"/>
        <v>0</v>
      </c>
      <c r="Q35" s="65">
        <f>ABS(P35*'Assumed Values'!$C$11)</f>
        <v>0</v>
      </c>
      <c r="R35" s="79">
        <f t="shared" si="2"/>
        <v>0</v>
      </c>
      <c r="T35" s="62"/>
    </row>
    <row r="36" spans="4:20" x14ac:dyDescent="0.25">
      <c r="D36" s="13">
        <f t="shared" si="3"/>
        <v>2050</v>
      </c>
      <c r="E36" s="62">
        <f>IF(AND(D36&gt;='Inputs &amp; Outputs'!B$13,D36&lt;'Inputs &amp; Outputs'!B$13+'Inputs &amp; Outputs'!B$15),1,0)</f>
        <v>0</v>
      </c>
      <c r="F36" s="86">
        <f>('Inputs &amp; Outputs'!$B$26/'Inputs &amp; Outputs'!$B$25)^(1/(2045-2025))-1</f>
        <v>1.6524279928542773E-2</v>
      </c>
      <c r="G36" s="52">
        <f>((('Inputs &amp; Outputs'!$B$16-'Inputs &amp; Outputs'!$B$17)*$B$4*'Inputs &amp; Outputs'!$B$22)+(('Inputs &amp; Outputs'!$B$16-'Inputs &amp; Outputs'!$B$17)*$B$4*'Inputs &amp; Outputs'!$B$21))</f>
        <v>599479.16072021704</v>
      </c>
      <c r="H36" s="52">
        <f t="shared" si="8"/>
        <v>1110572.98536515</v>
      </c>
      <c r="I36" s="52">
        <f t="shared" si="4"/>
        <v>0</v>
      </c>
      <c r="J36" s="52">
        <f t="shared" si="5"/>
        <v>0</v>
      </c>
      <c r="K36" s="63">
        <f>ABS(J36*'Assumed Values'!$C$12)</f>
        <v>0</v>
      </c>
      <c r="L36" s="82">
        <f t="shared" si="0"/>
        <v>0</v>
      </c>
      <c r="M36" s="64">
        <f>((('Inputs &amp; Outputs'!$B$16-'Inputs &amp; Outputs'!$B$17)*$B$5*'Inputs &amp; Outputs'!$B$22)+(('Inputs &amp; Outputs'!$B$16-'Inputs &amp; Outputs'!$B$17)*$B$5*'Inputs &amp; Outputs'!$B$21))</f>
        <v>88780.419729480345</v>
      </c>
      <c r="N36" s="52">
        <f t="shared" si="6"/>
        <v>144093.49507127769</v>
      </c>
      <c r="O36" s="52">
        <f t="shared" si="1"/>
        <v>0</v>
      </c>
      <c r="P36" s="52">
        <f t="shared" si="7"/>
        <v>0</v>
      </c>
      <c r="Q36" s="65">
        <f>ABS(P36*'Assumed Values'!$C$11)</f>
        <v>0</v>
      </c>
      <c r="R36" s="79">
        <f t="shared" si="2"/>
        <v>0</v>
      </c>
      <c r="T36" s="62"/>
    </row>
    <row r="37" spans="4:20" x14ac:dyDescent="0.25">
      <c r="D37" s="53" t="s">
        <v>61</v>
      </c>
      <c r="E37" s="72"/>
      <c r="F37" s="73"/>
      <c r="G37" s="74"/>
      <c r="H37" s="74"/>
      <c r="I37" s="66">
        <f t="shared" ref="I37:R37" si="9">SUM(I4:I36)</f>
        <v>2897332.5691679111</v>
      </c>
      <c r="J37" s="52">
        <f t="shared" ref="J37" si="10">I37*0.001*0.001102*260</f>
        <v>830.1437277179898</v>
      </c>
      <c r="K37" s="67">
        <f t="shared" si="9"/>
        <v>6234484.9133376423</v>
      </c>
      <c r="L37" s="83">
        <f t="shared" si="9"/>
        <v>4018900.6611218806</v>
      </c>
      <c r="M37" s="75"/>
      <c r="N37" s="74"/>
      <c r="O37" s="66">
        <f t="shared" si="9"/>
        <v>423150.36373717291</v>
      </c>
      <c r="P37" s="66">
        <f t="shared" si="9"/>
        <v>121.27539128960051</v>
      </c>
      <c r="Q37" s="68">
        <f t="shared" si="9"/>
        <v>231029.62040668898</v>
      </c>
      <c r="R37" s="80">
        <f t="shared" si="9"/>
        <v>148974.67945048053</v>
      </c>
    </row>
    <row r="38" spans="4:20" x14ac:dyDescent="0.25">
      <c r="P38" s="54"/>
      <c r="Q38" s="54"/>
    </row>
    <row r="39" spans="4:20" x14ac:dyDescent="0.25">
      <c r="P39" s="54"/>
      <c r="Q39" s="54"/>
    </row>
    <row r="40" spans="4:20" x14ac:dyDescent="0.25">
      <c r="P40" s="54"/>
      <c r="Q40" s="54"/>
    </row>
  </sheetData>
  <sheetProtection algorithmName="SHA-512" hashValue="r9q0AQW2hiLSF4RfTIkOpkTzw2yTm/HMZwpqcOiId/Mj584TqeUqmXIoj4yfjJi2W3wdQo3FenEr09PcJWKPsw==" saltValue="ecfU7XM7IIrDRg6bIfb3t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D15"/>
  <sheetViews>
    <sheetView zoomScaleNormal="100" workbookViewId="0">
      <selection activeCell="F16" sqref="F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100</v>
      </c>
    </row>
    <row r="4" spans="2:4" x14ac:dyDescent="0.25">
      <c r="B4" s="2" t="s">
        <v>23</v>
      </c>
    </row>
    <row r="5" spans="2:4" x14ac:dyDescent="0.25">
      <c r="B5" s="30" t="s">
        <v>25</v>
      </c>
      <c r="C5" s="32">
        <v>2018</v>
      </c>
    </row>
    <row r="6" spans="2:4" x14ac:dyDescent="0.25">
      <c r="B6" s="30" t="s">
        <v>26</v>
      </c>
      <c r="C6" s="47">
        <v>7.0000000000000007E-2</v>
      </c>
    </row>
    <row r="7" spans="2:4" x14ac:dyDescent="0.25">
      <c r="B7" s="27"/>
      <c r="C7" s="28"/>
    </row>
    <row r="8" spans="2:4" x14ac:dyDescent="0.25">
      <c r="B8" s="3" t="s">
        <v>101</v>
      </c>
    </row>
    <row r="9" spans="2:4" x14ac:dyDescent="0.25">
      <c r="B9" s="3"/>
    </row>
    <row r="10" spans="2:4" x14ac:dyDescent="0.25">
      <c r="B10" s="33" t="s">
        <v>0</v>
      </c>
      <c r="C10" s="33" t="s">
        <v>102</v>
      </c>
      <c r="D10" s="29"/>
    </row>
    <row r="11" spans="2:4" x14ac:dyDescent="0.25">
      <c r="B11" s="31" t="s">
        <v>1</v>
      </c>
      <c r="C11" s="76">
        <v>1905</v>
      </c>
      <c r="D11" s="88"/>
    </row>
    <row r="12" spans="2:4" x14ac:dyDescent="0.25">
      <c r="B12" s="31" t="s">
        <v>2</v>
      </c>
      <c r="C12" s="76">
        <v>7508</v>
      </c>
      <c r="D12" s="88"/>
    </row>
    <row r="14" spans="2:4" x14ac:dyDescent="0.25">
      <c r="B14" s="29" t="s">
        <v>24</v>
      </c>
    </row>
    <row r="15" spans="2:4" ht="75" x14ac:dyDescent="0.25">
      <c r="B15" s="78" t="s">
        <v>103</v>
      </c>
      <c r="C15" s="77">
        <f>'Inputs &amp; Outputs'!B15</f>
        <v>4</v>
      </c>
      <c r="D15" s="51" t="s">
        <v>27</v>
      </c>
    </row>
  </sheetData>
  <sheetProtection algorithmName="SHA-512" hashValue="O5VHKhcogWbdY7CJQtHItSNXhGDpr3ncs74xoe/ILGT8GNJRyGIk07fQ4O0R4PvFlPssKwT5ND3VbUrfL1GK+A==" saltValue="w4MPu2+B9LLxxUvAa+9hbg==" spinCount="100000" sheet="1" objects="1" scenarios="1"/>
  <hyperlinks>
    <hyperlink ref="D15"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7"/>
  <sheetViews>
    <sheetView workbookViewId="0">
      <selection activeCell="I4" sqref="I4"/>
    </sheetView>
  </sheetViews>
  <sheetFormatPr defaultRowHeight="15" x14ac:dyDescent="0.25"/>
  <cols>
    <col min="1" max="1" width="13.42578125" bestFit="1" customWidth="1"/>
    <col min="2" max="7" width="12" style="48" bestFit="1" customWidth="1"/>
    <col min="8" max="8" width="12.140625" style="48" bestFit="1" customWidth="1"/>
    <col min="9" max="9" width="12" style="48" bestFit="1" customWidth="1"/>
    <col min="10" max="10" width="12.140625" bestFit="1" customWidth="1"/>
  </cols>
  <sheetData>
    <row r="1" spans="1:13" x14ac:dyDescent="0.25">
      <c r="A1" s="125" t="s">
        <v>110</v>
      </c>
      <c r="B1" s="125"/>
      <c r="C1" s="125"/>
      <c r="D1" s="125"/>
      <c r="E1" s="125"/>
      <c r="F1" s="125"/>
      <c r="G1" s="125"/>
      <c r="H1" s="125"/>
      <c r="I1" s="125"/>
    </row>
    <row r="2" spans="1:13" x14ac:dyDescent="0.25">
      <c r="A2" s="93" t="s">
        <v>67</v>
      </c>
      <c r="B2" s="94" t="s">
        <v>69</v>
      </c>
      <c r="C2" s="94" t="s">
        <v>70</v>
      </c>
      <c r="D2" s="94" t="s">
        <v>71</v>
      </c>
      <c r="E2" s="94" t="s">
        <v>72</v>
      </c>
      <c r="F2" s="94" t="s">
        <v>73</v>
      </c>
      <c r="G2" s="94" t="s">
        <v>74</v>
      </c>
      <c r="H2" s="94" t="s">
        <v>75</v>
      </c>
      <c r="I2" s="94" t="s">
        <v>76</v>
      </c>
    </row>
    <row r="3" spans="1:13" x14ac:dyDescent="0.25">
      <c r="A3" s="91" t="s">
        <v>83</v>
      </c>
      <c r="B3" s="95">
        <v>0.38584750145675001</v>
      </c>
      <c r="C3" s="95">
        <v>0.44160500168799999</v>
      </c>
      <c r="D3" s="95">
        <v>0.35904999822375</v>
      </c>
      <c r="E3" s="95">
        <v>0.40945500135425</v>
      </c>
      <c r="F3" s="95">
        <v>0.38154751062400005</v>
      </c>
      <c r="G3" s="95">
        <v>0.61352748423824999</v>
      </c>
      <c r="H3" s="95">
        <v>0.37501998245724999</v>
      </c>
      <c r="I3" s="95">
        <v>0.69296248257149995</v>
      </c>
      <c r="K3" s="2" t="s">
        <v>77</v>
      </c>
    </row>
    <row r="4" spans="1:13" x14ac:dyDescent="0.25">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0.38584750145675001</v>
      </c>
      <c r="C7" s="95">
        <v>0.44160500168799999</v>
      </c>
      <c r="D7" s="95">
        <v>0.35904999822375</v>
      </c>
      <c r="E7" s="95">
        <v>0.40945500135425</v>
      </c>
      <c r="F7" s="95">
        <v>0.38155000656850002</v>
      </c>
      <c r="G7" s="95">
        <v>0.61352748423824999</v>
      </c>
      <c r="H7" s="95">
        <v>0.37501998245724999</v>
      </c>
      <c r="I7" s="95">
        <v>0.69296248257149995</v>
      </c>
    </row>
  </sheetData>
  <sheetProtection algorithmName="SHA-512" hashValue="or+SR7bGjZv83w4HryK7jJWyF6rjOUMUBB0wz1b1tn+JBdIq9LHF7R60n8L3bkCbWCA6gDHLl6hgyBUF7hv+bA==" saltValue="6x5vbK7ExFilUh1XQWjghQ=="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20"/>
  <sheetViews>
    <sheetView workbookViewId="0">
      <selection activeCell="J19" sqref="J19"/>
    </sheetView>
  </sheetViews>
  <sheetFormatPr defaultRowHeight="15" x14ac:dyDescent="0.25"/>
  <cols>
    <col min="1" max="1" width="13.42578125" bestFit="1" customWidth="1"/>
    <col min="2" max="8" width="12.140625" style="48" bestFit="1" customWidth="1"/>
    <col min="9" max="9" width="10.5703125" style="48" bestFit="1" customWidth="1"/>
  </cols>
  <sheetData>
    <row r="1" spans="1:13" x14ac:dyDescent="0.25">
      <c r="A1" s="125" t="s">
        <v>110</v>
      </c>
      <c r="B1" s="125"/>
      <c r="C1" s="125"/>
      <c r="D1" s="125"/>
      <c r="E1" s="125"/>
      <c r="F1" s="125"/>
      <c r="G1" s="125"/>
      <c r="H1" s="125"/>
      <c r="I1" s="125"/>
    </row>
    <row r="2" spans="1:13" s="2" customFormat="1" x14ac:dyDescent="0.25">
      <c r="A2" s="93" t="s">
        <v>67</v>
      </c>
      <c r="B2" s="94" t="s">
        <v>69</v>
      </c>
      <c r="C2" s="94" t="s">
        <v>70</v>
      </c>
      <c r="D2" s="94" t="s">
        <v>71</v>
      </c>
      <c r="E2" s="94" t="s">
        <v>72</v>
      </c>
      <c r="F2" s="94" t="s">
        <v>73</v>
      </c>
      <c r="G2" s="94" t="s">
        <v>74</v>
      </c>
      <c r="H2" s="94" t="s">
        <v>75</v>
      </c>
      <c r="I2" s="94" t="s">
        <v>76</v>
      </c>
    </row>
    <row r="3" spans="1:13" x14ac:dyDescent="0.25">
      <c r="A3" s="91" t="s">
        <v>83</v>
      </c>
      <c r="B3" s="95">
        <v>5.8609999716300001E-2</v>
      </c>
      <c r="C3" s="95">
        <v>7.0484898984399996E-2</v>
      </c>
      <c r="D3" s="95">
        <v>5.5012099444900001E-2</v>
      </c>
      <c r="E3" s="95">
        <v>6.3270196318599994E-2</v>
      </c>
      <c r="F3" s="95">
        <v>5.65058998764E-2</v>
      </c>
      <c r="G3" s="95">
        <v>9.6514701843299994E-2</v>
      </c>
      <c r="H3" s="95">
        <v>5.7858299464E-2</v>
      </c>
      <c r="I3" s="95">
        <v>0.110799998045</v>
      </c>
      <c r="K3" s="2" t="s">
        <v>77</v>
      </c>
    </row>
    <row r="4" spans="1:13" x14ac:dyDescent="0.25">
      <c r="A4" s="54"/>
      <c r="B4" s="122"/>
      <c r="C4" s="122"/>
      <c r="D4" s="122"/>
      <c r="E4" s="122"/>
      <c r="F4" s="122"/>
      <c r="G4" s="122"/>
      <c r="H4" s="122"/>
      <c r="I4" s="122"/>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5.8609899133399999E-2</v>
      </c>
      <c r="C7" s="95">
        <v>1.8333099782500001E-2</v>
      </c>
      <c r="D7" s="95">
        <v>1.2588200159399999E-2</v>
      </c>
      <c r="E7" s="95">
        <v>6.3270196318599994E-2</v>
      </c>
      <c r="F7" s="95">
        <v>5.6506000459199998E-2</v>
      </c>
      <c r="G7" s="95">
        <v>9.65145975351E-2</v>
      </c>
      <c r="H7" s="95">
        <v>5.7858299464E-2</v>
      </c>
      <c r="I7" s="95">
        <v>3.5873699933300002E-2</v>
      </c>
    </row>
    <row r="20" spans="1:9" s="2" customFormat="1" x14ac:dyDescent="0.25">
      <c r="A20"/>
      <c r="B20" s="48"/>
      <c r="C20" s="48"/>
      <c r="D20" s="48"/>
      <c r="E20" s="48"/>
      <c r="F20" s="48"/>
      <c r="G20" s="48"/>
      <c r="H20" s="48"/>
      <c r="I20" s="48"/>
    </row>
  </sheetData>
  <sheetProtection algorithmName="SHA-512" hashValue="6USU/zvfLJVt4n30Q+te4oGL9w55vHaK9ym/bTTRHdmsxRkaklVOUudKFY48pLlCCZQw8D9pi/8KQMZjPffxZg==" saltValue="Gy3ULHXZoIZN6YotviLaI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2:G8"/>
  <sheetViews>
    <sheetView workbookViewId="0">
      <selection activeCell="R19" sqref="R19"/>
    </sheetView>
  </sheetViews>
  <sheetFormatPr defaultRowHeight="15" x14ac:dyDescent="0.25"/>
  <cols>
    <col min="4" max="4" width="23.85546875" customWidth="1"/>
    <col min="5" max="5" width="20.42578125" bestFit="1" customWidth="1"/>
  </cols>
  <sheetData>
    <row r="2" spans="3:7" x14ac:dyDescent="0.25">
      <c r="C2" t="s">
        <v>115</v>
      </c>
      <c r="D2" t="s">
        <v>116</v>
      </c>
    </row>
    <row r="3" spans="3:7" x14ac:dyDescent="0.25">
      <c r="D3" t="s">
        <v>117</v>
      </c>
    </row>
    <row r="5" spans="3:7" x14ac:dyDescent="0.25">
      <c r="D5" s="92" t="s">
        <v>104</v>
      </c>
      <c r="E5" s="92" t="s">
        <v>105</v>
      </c>
    </row>
    <row r="6" spans="3:7" x14ac:dyDescent="0.25">
      <c r="D6" s="91" t="s">
        <v>106</v>
      </c>
      <c r="E6" s="91">
        <v>3</v>
      </c>
    </row>
    <row r="7" spans="3:7" x14ac:dyDescent="0.25">
      <c r="D7" s="91" t="s">
        <v>107</v>
      </c>
      <c r="E7" s="91">
        <v>4</v>
      </c>
      <c r="G7" t="s">
        <v>123</v>
      </c>
    </row>
    <row r="8" spans="3:7" x14ac:dyDescent="0.25">
      <c r="D8" s="91" t="s">
        <v>108</v>
      </c>
      <c r="E8" s="91">
        <v>20</v>
      </c>
    </row>
  </sheetData>
  <sheetProtection algorithmName="SHA-512" hashValue="8eL+meK4RH89wanuZfrVmxCmDaWjsENxe1Sq13RuEqOqSIOvIw/rScChgDZ1MyXz9mjAqN3LP9HqSrQSHJZQRA==" saltValue="MEa3OtcALjNBy+ELf7rm3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 </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2018-10-31T19:51:00Z</dcterms:modified>
</cp:coreProperties>
</file>