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58_HW_SH99/"/>
    </mc:Choice>
  </mc:AlternateContent>
  <xr:revisionPtr revIDLastSave="1" documentId="10_ncr:100000_{CBA6C018-675B-4BA5-BC3E-4CE5748AA567}" xr6:coauthVersionLast="40" xr6:coauthVersionMax="40" xr10:uidLastSave="{A7AEDF38-C6FC-477A-93FA-611C256E8379}"/>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20" i="19"/>
  <c r="C9" i="19"/>
  <c r="H7" i="19"/>
  <c r="H6" i="19"/>
  <c r="H28" i="19"/>
  <c r="H19" i="19"/>
  <c r="H21" i="19"/>
  <c r="H13" i="19"/>
  <c r="H25" i="19"/>
  <c r="H12" i="19"/>
  <c r="G12" i="19"/>
  <c r="G13" i="19"/>
  <c r="F5" i="19"/>
  <c r="F6" i="19"/>
  <c r="F7" i="19"/>
  <c r="F8" i="19"/>
  <c r="F9" i="19"/>
  <c r="F10" i="19"/>
  <c r="F11" i="19"/>
  <c r="F12" i="19"/>
  <c r="F13" i="19"/>
  <c r="I13" i="19"/>
  <c r="D4" i="19"/>
  <c r="D5" i="19"/>
  <c r="N13" i="19"/>
  <c r="O13" i="19"/>
  <c r="P13" i="19"/>
  <c r="Q13" i="19"/>
  <c r="H32" i="19"/>
  <c r="G32" i="19"/>
  <c r="H15" i="19"/>
  <c r="H30" i="19"/>
  <c r="H10" i="19"/>
  <c r="H9" i="19"/>
  <c r="H8" i="19"/>
  <c r="C12" i="2"/>
  <c r="C5" i="19"/>
  <c r="C4"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31" i="19"/>
  <c r="I4" i="19"/>
  <c r="J4" i="19"/>
  <c r="I14" i="19"/>
  <c r="I30" i="19"/>
  <c r="I18" i="19"/>
  <c r="I19" i="19"/>
  <c r="I9" i="19"/>
  <c r="I29" i="19"/>
  <c r="I16" i="19"/>
  <c r="I20" i="19"/>
  <c r="J11" i="19"/>
  <c r="T11" i="19"/>
  <c r="N11" i="19"/>
  <c r="O11" i="19"/>
  <c r="P11" i="19"/>
  <c r="Q11" i="19"/>
  <c r="J31" i="19"/>
  <c r="N31" i="19"/>
  <c r="J12" i="19"/>
  <c r="K12" i="19"/>
  <c r="L12" i="19"/>
  <c r="M12" i="19"/>
  <c r="N12" i="19"/>
  <c r="J13" i="19"/>
  <c r="K13" i="19"/>
  <c r="L13" i="19"/>
  <c r="M13" i="19"/>
  <c r="N4" i="19"/>
  <c r="O31" i="19"/>
  <c r="P31" i="19"/>
  <c r="Q31" i="19"/>
  <c r="O12" i="19"/>
  <c r="P12" i="19"/>
  <c r="Q12" i="19"/>
  <c r="O4" i="19"/>
  <c r="P4" i="19"/>
  <c r="K31" i="19"/>
  <c r="L31" i="19"/>
  <c r="M31" i="19"/>
  <c r="T31" i="19"/>
  <c r="U31" i="19"/>
  <c r="T12" i="19"/>
  <c r="U12" i="19"/>
  <c r="K11" i="19"/>
  <c r="L11" i="19"/>
  <c r="M11" i="19"/>
  <c r="U11" i="19"/>
  <c r="K4" i="19"/>
  <c r="L4" i="19"/>
  <c r="T4" i="19"/>
  <c r="U4" i="19"/>
  <c r="M4" i="19"/>
  <c r="Q4" i="19"/>
  <c r="J32" i="19"/>
  <c r="N32" i="19"/>
  <c r="O32" i="19"/>
  <c r="P32" i="19"/>
  <c r="Q32" i="19"/>
  <c r="T13" i="19"/>
  <c r="U13" i="19"/>
  <c r="H23" i="19"/>
  <c r="H33" i="19"/>
  <c r="G33" i="19"/>
  <c r="H29" i="19"/>
  <c r="H11" i="19"/>
  <c r="H31" i="19"/>
  <c r="H17" i="19"/>
  <c r="H35" i="19"/>
  <c r="H14" i="19"/>
  <c r="G14" i="19"/>
  <c r="H34" i="19"/>
  <c r="H27" i="19"/>
  <c r="H5" i="19"/>
  <c r="G5" i="19"/>
  <c r="H16" i="19"/>
  <c r="H18" i="19"/>
  <c r="H36" i="19"/>
  <c r="H22" i="19"/>
  <c r="H24" i="19"/>
  <c r="H26" i="19"/>
  <c r="G34" i="19"/>
  <c r="J33" i="19"/>
  <c r="N33" i="19"/>
  <c r="O33" i="19"/>
  <c r="P33" i="19"/>
  <c r="Q33" i="19"/>
  <c r="J5" i="19"/>
  <c r="N5" i="19"/>
  <c r="G6" i="19"/>
  <c r="N14" i="19"/>
  <c r="O14" i="19"/>
  <c r="P14" i="19"/>
  <c r="Q14" i="19"/>
  <c r="G15" i="19"/>
  <c r="J14" i="19"/>
  <c r="K32" i="19"/>
  <c r="L32" i="19"/>
  <c r="M32" i="19"/>
  <c r="T32" i="19"/>
  <c r="U32" i="19"/>
  <c r="G16" i="19"/>
  <c r="N15" i="19"/>
  <c r="O15" i="19"/>
  <c r="P15" i="19"/>
  <c r="Q15" i="19"/>
  <c r="J15" i="19"/>
  <c r="N6" i="19"/>
  <c r="O6" i="19"/>
  <c r="P6" i="19"/>
  <c r="Q6" i="19"/>
  <c r="J6" i="19"/>
  <c r="G7" i="19"/>
  <c r="K5" i="19"/>
  <c r="T5" i="19"/>
  <c r="O5" i="19"/>
  <c r="K33" i="19"/>
  <c r="L33" i="19"/>
  <c r="M33" i="19"/>
  <c r="T33" i="19"/>
  <c r="U33" i="19"/>
  <c r="T14" i="19"/>
  <c r="U14" i="19"/>
  <c r="K14" i="19"/>
  <c r="L14" i="19"/>
  <c r="M14" i="19"/>
  <c r="N34" i="19"/>
  <c r="O34" i="19"/>
  <c r="P34" i="19"/>
  <c r="Q34" i="19"/>
  <c r="G35" i="19"/>
  <c r="J34" i="19"/>
  <c r="G8" i="19"/>
  <c r="J7" i="19"/>
  <c r="N7" i="19"/>
  <c r="O7" i="19"/>
  <c r="P7" i="19"/>
  <c r="Q7" i="19"/>
  <c r="K6" i="19"/>
  <c r="L6" i="19"/>
  <c r="M6" i="19"/>
  <c r="T6" i="19"/>
  <c r="U6" i="19"/>
  <c r="P5" i="19"/>
  <c r="L5" i="19"/>
  <c r="K15" i="19"/>
  <c r="L15" i="19"/>
  <c r="M15" i="19"/>
  <c r="T15" i="19"/>
  <c r="U15" i="19"/>
  <c r="T34" i="19"/>
  <c r="U34" i="19"/>
  <c r="K34" i="19"/>
  <c r="L34" i="19"/>
  <c r="M34" i="19"/>
  <c r="G36" i="19"/>
  <c r="N35" i="19"/>
  <c r="O35" i="19"/>
  <c r="P35" i="19"/>
  <c r="Q35" i="19"/>
  <c r="J35" i="19"/>
  <c r="U5" i="19"/>
  <c r="G17" i="19"/>
  <c r="J16" i="19"/>
  <c r="N16" i="19"/>
  <c r="O16" i="19"/>
  <c r="P16" i="19"/>
  <c r="Q16" i="19"/>
  <c r="J36" i="19"/>
  <c r="N36" i="19"/>
  <c r="O36" i="19"/>
  <c r="P36" i="19"/>
  <c r="Q36" i="19"/>
  <c r="K16" i="19"/>
  <c r="L16" i="19"/>
  <c r="M16" i="19"/>
  <c r="T16" i="19"/>
  <c r="U16" i="19"/>
  <c r="Q5" i="19"/>
  <c r="J17" i="19"/>
  <c r="N17" i="19"/>
  <c r="O17" i="19"/>
  <c r="P17" i="19"/>
  <c r="Q17" i="19"/>
  <c r="G18" i="19"/>
  <c r="T7" i="19"/>
  <c r="U7" i="19"/>
  <c r="K7" i="19"/>
  <c r="T35" i="19"/>
  <c r="U35" i="19"/>
  <c r="K35" i="19"/>
  <c r="L35" i="19"/>
  <c r="M35" i="19"/>
  <c r="M5" i="19"/>
  <c r="G9" i="19"/>
  <c r="J8" i="19"/>
  <c r="N8" i="19"/>
  <c r="L7" i="19"/>
  <c r="O8" i="19"/>
  <c r="K8" i="19"/>
  <c r="L8" i="19"/>
  <c r="M8" i="19"/>
  <c r="T8" i="19"/>
  <c r="U8" i="19"/>
  <c r="N9" i="19"/>
  <c r="O9" i="19"/>
  <c r="P9" i="19"/>
  <c r="Q9" i="19"/>
  <c r="J9" i="19"/>
  <c r="G10" i="19"/>
  <c r="K17" i="19"/>
  <c r="L17" i="19"/>
  <c r="M17" i="19"/>
  <c r="T17" i="19"/>
  <c r="U17" i="19"/>
  <c r="N18" i="19"/>
  <c r="O18" i="19"/>
  <c r="P18" i="19"/>
  <c r="Q18" i="19"/>
  <c r="J18" i="19"/>
  <c r="G19" i="19"/>
  <c r="T36" i="19"/>
  <c r="U36" i="19"/>
  <c r="K36" i="19"/>
  <c r="L36" i="19"/>
  <c r="M36" i="19"/>
  <c r="T18" i="19"/>
  <c r="U18" i="19"/>
  <c r="K18" i="19"/>
  <c r="L18" i="19"/>
  <c r="M18" i="19"/>
  <c r="P8" i="19"/>
  <c r="K9" i="19"/>
  <c r="L9" i="19"/>
  <c r="M9" i="19"/>
  <c r="T9" i="19"/>
  <c r="U9" i="19"/>
  <c r="G20" i="19"/>
  <c r="J19" i="19"/>
  <c r="N19" i="19"/>
  <c r="O19" i="19"/>
  <c r="P19" i="19"/>
  <c r="Q19" i="19"/>
  <c r="J10" i="19"/>
  <c r="N10" i="19"/>
  <c r="O10" i="19"/>
  <c r="P10" i="19"/>
  <c r="Q10" i="19"/>
  <c r="M7" i="19"/>
  <c r="T19" i="19"/>
  <c r="U19" i="19"/>
  <c r="K19" i="19"/>
  <c r="L19" i="19"/>
  <c r="M19" i="19"/>
  <c r="T10" i="19"/>
  <c r="U10" i="19"/>
  <c r="K10" i="19"/>
  <c r="L10" i="19"/>
  <c r="M10" i="19"/>
  <c r="Q8" i="19"/>
  <c r="N20" i="19"/>
  <c r="O20" i="19"/>
  <c r="P20" i="19"/>
  <c r="Q20" i="19"/>
  <c r="G21" i="19"/>
  <c r="J20" i="19"/>
  <c r="T20" i="19"/>
  <c r="U20" i="19"/>
  <c r="K20" i="19"/>
  <c r="G22" i="19"/>
  <c r="N21" i="19"/>
  <c r="O21" i="19"/>
  <c r="J21" i="19"/>
  <c r="J22" i="19"/>
  <c r="N22" i="19"/>
  <c r="O22" i="19"/>
  <c r="P22" i="19"/>
  <c r="Q22" i="19"/>
  <c r="G23" i="19"/>
  <c r="K21" i="19"/>
  <c r="L21" i="19"/>
  <c r="M21" i="19"/>
  <c r="T21" i="19"/>
  <c r="U21" i="19"/>
  <c r="P21" i="19"/>
  <c r="L20" i="19"/>
  <c r="K22" i="19"/>
  <c r="L22" i="19"/>
  <c r="M22" i="19"/>
  <c r="T22" i="19"/>
  <c r="U22" i="19"/>
  <c r="M20" i="19"/>
  <c r="Q21" i="19"/>
  <c r="G24" i="19"/>
  <c r="N23" i="19"/>
  <c r="O23" i="19"/>
  <c r="J23" i="19"/>
  <c r="P23" i="19"/>
  <c r="N24" i="19"/>
  <c r="O24" i="19"/>
  <c r="P24" i="19"/>
  <c r="Q24" i="19"/>
  <c r="G25" i="19"/>
  <c r="J24" i="19"/>
  <c r="K23" i="19"/>
  <c r="L23" i="19"/>
  <c r="T23" i="19"/>
  <c r="U23" i="19"/>
  <c r="M23" i="19"/>
  <c r="T24" i="19"/>
  <c r="U24" i="19"/>
  <c r="K24" i="19"/>
  <c r="L24" i="19"/>
  <c r="M24" i="19"/>
  <c r="N25" i="19"/>
  <c r="O25" i="19"/>
  <c r="P25" i="19"/>
  <c r="Q25" i="19"/>
  <c r="G26" i="19"/>
  <c r="J25" i="19"/>
  <c r="Q23" i="19"/>
  <c r="T25" i="19"/>
  <c r="U25" i="19"/>
  <c r="K25" i="19"/>
  <c r="L25" i="19"/>
  <c r="M25" i="19"/>
  <c r="N26" i="19"/>
  <c r="O26" i="19"/>
  <c r="P26" i="19"/>
  <c r="Q26" i="19"/>
  <c r="G27" i="19"/>
  <c r="J26" i="19"/>
  <c r="K26" i="19"/>
  <c r="L26" i="19"/>
  <c r="M26" i="19"/>
  <c r="T26" i="19"/>
  <c r="U26" i="19"/>
  <c r="G28" i="19"/>
  <c r="N27" i="19"/>
  <c r="O27" i="19"/>
  <c r="P27" i="19"/>
  <c r="Q27" i="19"/>
  <c r="J27" i="19"/>
  <c r="K27" i="19"/>
  <c r="L27" i="19"/>
  <c r="M27" i="19"/>
  <c r="T27" i="19"/>
  <c r="U27" i="19"/>
  <c r="G29" i="19"/>
  <c r="N28" i="19"/>
  <c r="O28" i="19"/>
  <c r="P28" i="19"/>
  <c r="Q28" i="19"/>
  <c r="J28" i="19"/>
  <c r="T28" i="19"/>
  <c r="U28" i="19"/>
  <c r="K28" i="19"/>
  <c r="L28" i="19"/>
  <c r="M28" i="19"/>
  <c r="N29" i="19"/>
  <c r="O29" i="19"/>
  <c r="P29" i="19"/>
  <c r="Q29" i="19"/>
  <c r="G30" i="19"/>
  <c r="J29" i="19"/>
  <c r="N30" i="19"/>
  <c r="J30" i="19"/>
  <c r="K29" i="19"/>
  <c r="L29" i="19"/>
  <c r="M29" i="19"/>
  <c r="T29" i="19"/>
  <c r="U29" i="19"/>
  <c r="K30" i="19"/>
  <c r="T30" i="19"/>
  <c r="J37" i="19"/>
  <c r="O30" i="19"/>
  <c r="N37" i="19"/>
  <c r="U30" i="19"/>
  <c r="U37" i="19"/>
  <c r="T37" i="19"/>
  <c r="P30" i="19"/>
  <c r="O37" i="19"/>
  <c r="B38" i="11"/>
  <c r="L30" i="19"/>
  <c r="K37" i="19"/>
  <c r="B37" i="11"/>
  <c r="M30" i="19"/>
  <c r="M37" i="19"/>
  <c r="B30" i="11"/>
  <c r="L37" i="19"/>
  <c r="Q30"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<sst xmlns="http://schemas.openxmlformats.org/spreadsheetml/2006/main" count="263" uniqueCount="131">
  <si>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</si>
  <si>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</si>
  <si>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</si>
  <si>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</si>
  <si>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</si>
  <si>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</si>
  <si>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</si>
  <si>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</si>
  <si>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</si>
  <si>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</si>
  <si>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</si>
  <si>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</si>
  <si>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</si>
  <si>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</si>
  <si>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</si>
  <si>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</si>
  <si>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</si>
  <si>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</si>
  <si>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</si>
  <si>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</si>
  <si>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</si>
  <si>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</si>
  <si>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</si>
  <si>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</si>
  <si>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</si>
  <si>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</si>
  <si>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</si>
  <si>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</si>
  <si>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</si>
  <si>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</si>
  <si>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</si>
  <si>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</si>
  <si>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</si>
  <si>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</si>
  <si>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</si>
  <si>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</si>
  <si>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</si>
  <si>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</si>
  <si>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</si>
  <si>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</si>
  <si>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</si>
  <si>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</si>
  <si>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</si>
  <si>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</si>
  <si>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</si>
  <si>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</si>
  <si>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</si>
  <si>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99 Seg D Widening</t>
  </si>
  <si>
    <t>Data entered by the sponsors</t>
  </si>
  <si>
    <t>Application ID Number:</t>
  </si>
  <si>
    <t>Data populated/calculated based on inputs</t>
  </si>
  <si>
    <t>Sponsor ID Number (CSJ, etc.):</t>
  </si>
  <si>
    <t>3510-05-041</t>
  </si>
  <si>
    <t xml:space="preserve">HGAC regional travel demand model data provided by HGAC </t>
  </si>
  <si>
    <t>Project County</t>
  </si>
  <si>
    <t>Harris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</si>
  <si>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</si>
  <si>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</si>
  <si>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</si>
  <si>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</si>
  <si>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</si>
  <si>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</si>
  <si>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</si>
  <si>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</si>
  <si>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</si>
  <si>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</si>
  <si>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</si>
  <si>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</si>
  <si>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</si>
  <si>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</si>
  <si>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</si>
  <si>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</si>
  <si>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</si>
  <si>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</si>
  <si>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</si>
  <si>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</si>
  <si>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</si>
  <si>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</si>
  <si>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</si>
  <si>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</si>
  <si>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</si>
  <si>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</si>
  <si>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</si>
  <si>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</si>
  <si>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</si>
  <si>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</si>
  <si>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</si>
  <si>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</si>
  <si>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</si>
  <si>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</si>
  <si>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</si>
  <si>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</si>
  <si>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</si>
  <si>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</si>
  <si>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</si>
  <si>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</si>
  <si>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</si>
  <si>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</si>
  <si>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</si>
  <si>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</si>
  <si>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</si>
  <si>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</si>
  <si>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</si>
  <si>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</si>
  <si>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</si>
  <si>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</si>
  <si>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</si>
  <si>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</si>
  <si>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</si>
  <si>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</si>
  <si>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</si>
  <si>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</si>
  <si>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</si>
  <si>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</si>
  <si>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</si>
  <si>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</si>
  <si>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</si>
  <si>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</si>
  <si>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Liberty</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</si>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</sst>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wrapText="1"/>
      <protection locked="0"/>
    </xf>
    <xf numFmtId="3" fontId="0" fillId="13" borderId="1" xfId="0" applyNumberFormat="1" applyFill="1" applyBorder="1" applyAlignment="1" applyProtection="1">
      <alignment vertical="center"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0" zoomScaleNormal="100" workbookViewId="0" xr3:uid="{51F8DEE0-4D01-5F28-A812-FC0BD7CAC4A5}">
      <selection activeCell="B18" sqref="B18"/>
    </sheetView>
  </sheetViews>
  <sheetFormatPr defaultColWidth="9.140625"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2022</v>
      </c>
    </row>
    <row r="14" spans="1:5">
      <c r="A14" s="5" t="s">
        <v>59</v>
      </c>
      <c r="B14" s="5" t="s">
        <v>60</v>
      </c>
    </row>
    <row r="15" spans="1:5">
      <c r="A15" s="85" t="s">
        <v>61</v>
      </c>
      <c r="B15" s="8" t="s">
        <v>62</v>
      </c>
    </row>
    <row r="16" spans="1:5">
      <c r="A16" s="85" t="s">
        <v>63</v>
      </c>
      <c r="B16" s="8">
        <v>1.51</v>
      </c>
    </row>
    <row r="17" spans="1:2">
      <c r="A17" s="86" t="s">
        <v>64</v>
      </c>
      <c r="B17" s="8">
        <v>17</v>
      </c>
    </row>
    <row r="18" spans="1:2">
      <c r="A18" s="86" t="s">
        <v>65</v>
      </c>
      <c r="B18" s="8">
        <v>28</v>
      </c>
    </row>
    <row r="19" spans="1:2">
      <c r="A19" s="76" t="s">
        <v>66</v>
      </c>
      <c r="B19" s="77">
        <f>VLOOKUP(B14,'Service Life'!C6:D8,2,FALSE)</f>
        <v>20</v>
      </c>
    </row>
    <row r="21" spans="1:2">
      <c r="A21" s="81" t="s">
        <v>67</v>
      </c>
    </row>
    <row r="22" spans="1:2" ht="20.25" customHeight="1">
      <c r="A22" s="86" t="s">
        <v>68</v>
      </c>
      <c r="B22" s="95">
        <v>108674</v>
      </c>
    </row>
    <row r="23" spans="1:2" ht="30">
      <c r="A23" s="94" t="s">
        <v>69</v>
      </c>
      <c r="B23" s="96">
        <v>131642</v>
      </c>
    </row>
    <row r="24" spans="1:2" ht="30">
      <c r="A24" s="94" t="s">
        <v>70</v>
      </c>
      <c r="B24" s="96">
        <v>158666</v>
      </c>
    </row>
    <row r="27" spans="1:2" ht="18.75">
      <c r="A27" s="79" t="s">
        <v>71</v>
      </c>
      <c r="B27" s="80"/>
    </row>
    <row r="29" spans="1:2">
      <c r="A29" s="87" t="s">
        <v>72</v>
      </c>
    </row>
    <row r="30" spans="1:2">
      <c r="A30" s="84" t="s">
        <v>73</v>
      </c>
      <c r="B30" s="35">
        <f>'Benefit Calculations'!M37</f>
        <v>30662.95804108158</v>
      </c>
    </row>
    <row r="31" spans="1:2">
      <c r="A31" s="84" t="s">
        <v>74</v>
      </c>
      <c r="B31" s="35">
        <f>'Benefit Calculations'!Q37</f>
        <v>4740.3634798171124</v>
      </c>
    </row>
    <row r="32" spans="1:2">
      <c r="B32" s="88"/>
    </row>
    <row r="33" spans="1:9">
      <c r="A33" s="87" t="s">
        <v>75</v>
      </c>
      <c r="B33" s="88"/>
    </row>
    <row r="34" spans="1:9">
      <c r="A34" s="84" t="s">
        <v>76</v>
      </c>
      <c r="B34" s="35">
        <f>$B$30+$B$31</f>
        <v>35403.321520898695</v>
      </c>
    </row>
    <row r="35" spans="1:9">
      <c r="I35" s="89"/>
    </row>
    <row r="36" spans="1:9">
      <c r="A36" s="87" t="s">
        <v>77</v>
      </c>
    </row>
    <row r="37" spans="1:9">
      <c r="A37" s="84" t="s">
        <v>78</v>
      </c>
      <c r="B37" s="91">
        <f>'Benefit Calculations'!K37</f>
        <v>9.6390786807206954</v>
      </c>
    </row>
    <row r="38" spans="1:9">
      <c r="A38" s="84" t="s">
        <v>79</v>
      </c>
      <c r="B38" s="91">
        <f>'Benefit Calculations'!O37</f>
        <v>5.8730324999138022</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5.9942800551699899E-2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1.6589900478700001E-2</v>
      </c>
      <c r="F4" s="54">
        <v>2018</v>
      </c>
      <c r="G4" s="63">
        <f>'Inputs &amp; Outputs'!B22</f>
        <v>108674</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5.1847200840699999E-2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1.1657300405199999E-2</v>
      </c>
      <c r="F5" s="54">
        <f t="shared" ref="F5:F36" si="2">F4+1</f>
        <v>2019</v>
      </c>
      <c r="G5" s="63">
        <f>G4+G4*H5</f>
        <v>111691.776388468</v>
      </c>
      <c r="H5" s="62">
        <f>$C$9</f>
        <v>2.776907437352083E-2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114793.35363391002</v>
      </c>
      <c r="H6" s="62">
        <f t="shared" ref="H6:H11" si="7">$C$9</f>
        <v>2.776907437352083E-2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117981.05880855594</v>
      </c>
      <c r="H7" s="62">
        <f t="shared" si="7"/>
        <v>2.776907437352083E-2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121257.28360527747</v>
      </c>
      <c r="H8" s="62">
        <f t="shared" si="7"/>
        <v>2.776907437352083E-2</v>
      </c>
      <c r="I8" s="54">
        <f>IF(AND(F8&gt;='Inputs &amp; Outputs'!B$13,F8&lt;'Inputs &amp; Outputs'!B$13+'Inputs &amp; Outputs'!B$19),1,0)</f>
        <v>1</v>
      </c>
      <c r="J8" s="55">
        <f>I8*'Inputs &amp; Outputs'!B$16*'Benefit Calculations'!G8*('Benefit Calculations'!C$4-'Benefit Calculations'!C$5)</f>
        <v>1482.2921494683908</v>
      </c>
      <c r="K8" s="71">
        <f t="shared" si="3"/>
        <v>0.42482667117341311</v>
      </c>
      <c r="L8" s="56">
        <f>K8*'Assumed Values'!$C$8</f>
        <v>3189.5986471699857</v>
      </c>
      <c r="M8" s="57">
        <f t="shared" si="0"/>
        <v>2433.329536279246</v>
      </c>
      <c r="N8" s="55">
        <f>I8*'Inputs &amp; Outputs'!B$16*'Benefit Calculations'!G8*('Benefit Calculations'!D$4-'Benefit Calculations'!D$5)</f>
        <v>903.15166589594128</v>
      </c>
      <c r="O8" s="71">
        <f t="shared" si="4"/>
        <v>0.25884432830930076</v>
      </c>
      <c r="P8" s="56">
        <f>ABS(O8*'Assumed Values'!$C$7)</f>
        <v>493.09844542921797</v>
      </c>
      <c r="Q8" s="57">
        <f t="shared" si="1"/>
        <v>376.18244308602829</v>
      </c>
      <c r="T8" s="68">
        <f t="shared" si="5"/>
        <v>0.38539595886178163</v>
      </c>
      <c r="U8" s="69">
        <f>T8*'Assumed Values'!$D$8</f>
        <v>0</v>
      </c>
    </row>
    <row r="9" spans="2:21">
      <c r="B9" s="15" t="s">
        <v>98</v>
      </c>
      <c r="C9" s="53">
        <f>('Inputs &amp; Outputs'!B23/'Inputs &amp; Outputs'!B22)^(1/(2025-2018))-1</f>
        <v>2.776907437352083E-2</v>
      </c>
      <c r="F9" s="54">
        <f t="shared" si="2"/>
        <v>2023</v>
      </c>
      <c r="G9" s="63">
        <f t="shared" si="6"/>
        <v>124624.48613204353</v>
      </c>
      <c r="H9" s="62">
        <f t="shared" si="7"/>
        <v>2.776907437352083E-2</v>
      </c>
      <c r="I9" s="54">
        <f>IF(AND(F9&gt;='Inputs &amp; Outputs'!B$13,F9&lt;'Inputs &amp; Outputs'!B$13+'Inputs &amp; Outputs'!B$19),1,0)</f>
        <v>1</v>
      </c>
      <c r="J9" s="55">
        <f>I9*'Inputs &amp; Outputs'!B$16*'Benefit Calculations'!G9*('Benefit Calculations'!C$4-'Benefit Calculations'!C$5)</f>
        <v>1523.4540304102647</v>
      </c>
      <c r="K9" s="71">
        <f t="shared" si="3"/>
        <v>0.43662371460108296</v>
      </c>
      <c r="L9" s="56">
        <f>K9*'Assumed Values'!$C$8</f>
        <v>3278.1708492249309</v>
      </c>
      <c r="M9" s="57">
        <f t="shared" si="0"/>
        <v>2337.290509483616</v>
      </c>
      <c r="N9" s="55">
        <f>I9*'Inputs &amp; Outputs'!B$16*'Benefit Calculations'!G9*('Benefit Calculations'!D$4-'Benefit Calculations'!D$5)</f>
        <v>928.23135167677503</v>
      </c>
      <c r="O9" s="71">
        <f t="shared" si="4"/>
        <v>0.26603219571328585</v>
      </c>
      <c r="P9" s="56">
        <f>ABS(O9*'Assumed Values'!$C$7)</f>
        <v>506.79133283380952</v>
      </c>
      <c r="Q9" s="57">
        <f t="shared" si="1"/>
        <v>361.33521619261404</v>
      </c>
      <c r="T9" s="68">
        <f t="shared" si="5"/>
        <v>0.39609804790666886</v>
      </c>
      <c r="U9" s="69">
        <f>T9*'Assumed Values'!$D$8</f>
        <v>0</v>
      </c>
    </row>
    <row r="10" spans="2:21">
      <c r="B10" s="15" t="s">
        <v>99</v>
      </c>
      <c r="C10" s="53">
        <f>('Inputs &amp; Outputs'!B24/'Inputs &amp; Outputs'!B23)^(1/(2045-2020))-1</f>
        <v>7.4965695084827644E-3</v>
      </c>
      <c r="F10" s="54">
        <f t="shared" si="2"/>
        <v>2024</v>
      </c>
      <c r="G10" s="63">
        <f t="shared" si="6"/>
        <v>128085.19275620606</v>
      </c>
      <c r="H10" s="62">
        <f t="shared" si="7"/>
        <v>2.776907437352083E-2</v>
      </c>
      <c r="I10" s="54">
        <f>IF(AND(F10&gt;='Inputs &amp; Outputs'!B$13,F10&lt;'Inputs &amp; Outputs'!B$13+'Inputs &amp; Outputs'!B$19),1,0)</f>
        <v>1</v>
      </c>
      <c r="J10" s="55">
        <f>I10*'Inputs &amp; Outputs'!B$16*'Benefit Calculations'!G10*('Benefit Calculations'!C$4-'Benefit Calculations'!C$5)</f>
        <v>1565.7589386853674</v>
      </c>
      <c r="K10" s="71">
        <f t="shared" si="3"/>
        <v>0.44874835100508331</v>
      </c>
      <c r="L10" s="56">
        <f>K10*'Assumed Values'!$C$8</f>
        <v>3369.2026193461656</v>
      </c>
      <c r="M10" s="57">
        <f t="shared" si="0"/>
        <v>2245.0419658635428</v>
      </c>
      <c r="N10" s="55">
        <f>I10*'Inputs &amp; Outputs'!B$16*'Benefit Calculations'!G10*('Benefit Calculations'!D$4-'Benefit Calculations'!D$5)</f>
        <v>954.00747711732106</v>
      </c>
      <c r="O10" s="71">
        <f t="shared" si="4"/>
        <v>0.27341966354179909</v>
      </c>
      <c r="P10" s="56">
        <f>ABS(O10*'Assumed Values'!$C$7)</f>
        <v>520.8644590471273</v>
      </c>
      <c r="Q10" s="57">
        <f t="shared" si="1"/>
        <v>347.07398194844762</v>
      </c>
      <c r="T10" s="68">
        <f t="shared" si="5"/>
        <v>0.40709732405819554</v>
      </c>
      <c r="U10" s="69">
        <f>T10*'Assumed Values'!$D$8</f>
        <v>0</v>
      </c>
    </row>
    <row r="11" spans="2:21">
      <c r="B11" s="15" t="s">
        <v>100</v>
      </c>
      <c r="C11" s="53">
        <f>('Inputs &amp; Outputs'!B24/'Inputs &amp; Outputs'!B22)^(1/(2045-2018))-1</f>
        <v>1.4115315227469782E-2</v>
      </c>
      <c r="F11" s="54">
        <f t="shared" si="2"/>
        <v>2025</v>
      </c>
      <c r="G11" s="63">
        <f>'Inputs &amp; Outputs'!$B$23</f>
        <v>131642</v>
      </c>
      <c r="H11" s="62">
        <f t="shared" si="7"/>
        <v>2.776907437352083E-2</v>
      </c>
      <c r="I11" s="54">
        <f>IF(AND(F11&gt;='Inputs &amp; Outputs'!B$13,F11&lt;'Inputs &amp; Outputs'!B$13+'Inputs &amp; Outputs'!B$19),1,0)</f>
        <v>1</v>
      </c>
      <c r="J11" s="55">
        <f>I11*'Inputs &amp; Outputs'!B$16*'Benefit Calculations'!G11*('Benefit Calculations'!C$4-'Benefit Calculations'!C$5)</f>
        <v>1609.2386151047278</v>
      </c>
      <c r="K11" s="71">
        <f t="shared" si="3"/>
        <v>0.46120967733913876</v>
      </c>
      <c r="L11" s="56">
        <f>K11*'Assumed Values'!$C$8</f>
        <v>3462.7622574622537</v>
      </c>
      <c r="M11" s="57">
        <f t="shared" si="0"/>
        <v>2156.4343020423225</v>
      </c>
      <c r="N11" s="55">
        <f>I11*'Inputs &amp; Outputs'!B$16*'Benefit Calculations'!G11*('Benefit Calculations'!D$4-'Benefit Calculations'!D$5)</f>
        <v>980.49938170228779</v>
      </c>
      <c r="O11" s="71">
        <f t="shared" si="4"/>
        <v>0.28101227451387462</v>
      </c>
      <c r="P11" s="56">
        <f>ABS(O11*'Assumed Values'!$C$7)</f>
        <v>535.32838294893111</v>
      </c>
      <c r="Q11" s="57">
        <f t="shared" si="1"/>
        <v>333.37561230494236</v>
      </c>
      <c r="T11" s="68">
        <f t="shared" si="5"/>
        <v>0.41840203992722924</v>
      </c>
      <c r="U11" s="69">
        <f>T11*'Assumed Values'!$D$8</f>
        <v>0</v>
      </c>
    </row>
    <row r="12" spans="2:21">
      <c r="C12" s="38"/>
      <c r="F12" s="54">
        <f t="shared" si="2"/>
        <v>2026</v>
      </c>
      <c r="G12" s="63">
        <f t="shared" si="6"/>
        <v>132628.86340323568</v>
      </c>
      <c r="H12" s="62">
        <f>$C$10</f>
        <v>7.4965695084827644E-3</v>
      </c>
      <c r="I12" s="54">
        <f>IF(AND(F12&gt;='Inputs &amp; Outputs'!B$13,F12&lt;'Inputs &amp; Outputs'!B$13+'Inputs &amp; Outputs'!B$19),1,0)</f>
        <v>1</v>
      </c>
      <c r="J12" s="55">
        <f>I12*'Inputs &amp; Outputs'!B$16*'Benefit Calculations'!G12*('Benefit Calculations'!C$4-'Benefit Calculations'!C$5)</f>
        <v>1621.3023842385946</v>
      </c>
      <c r="K12" s="71">
        <f t="shared" si="3"/>
        <v>0.46466716774329642</v>
      </c>
      <c r="L12" s="56">
        <f>K12*'Assumed Values'!$C$8</f>
        <v>3488.7210954166694</v>
      </c>
      <c r="M12" s="57">
        <f t="shared" si="0"/>
        <v>2030.4674408206158</v>
      </c>
      <c r="N12" s="55">
        <f>I12*'Inputs &amp; Outputs'!B$16*'Benefit Calculations'!G12*('Benefit Calculations'!D$4-'Benefit Calculations'!D$5)</f>
        <v>987.84976347024326</v>
      </c>
      <c r="O12" s="71">
        <f t="shared" si="4"/>
        <v>0.28311890256250466</v>
      </c>
      <c r="P12" s="56">
        <f>ABS(O12*'Assumed Values'!$C$7)</f>
        <v>539.34150938157143</v>
      </c>
      <c r="Q12" s="57">
        <f t="shared" si="1"/>
        <v>313.90166892992465</v>
      </c>
      <c r="T12" s="68">
        <f t="shared" si="5"/>
        <v>0.42153861990203456</v>
      </c>
      <c r="U12" s="69">
        <f>T12*'Assumed Values'!$D$8</f>
        <v>0</v>
      </c>
    </row>
    <row r="13" spans="2:21">
      <c r="C13" s="38"/>
      <c r="F13" s="54">
        <f t="shared" si="2"/>
        <v>2027</v>
      </c>
      <c r="G13" s="63">
        <f t="shared" si="6"/>
        <v>133623.12489656909</v>
      </c>
      <c r="H13" s="62">
        <f t="shared" ref="H13:H36" si="8">$C$10</f>
        <v>7.4965695084827644E-3</v>
      </c>
      <c r="I13" s="54">
        <f>IF(AND(F13&gt;='Inputs &amp; Outputs'!B$13,F13&lt;'Inputs &amp; Outputs'!B$13+'Inputs &amp; Outputs'!B$19),1,0)</f>
        <v>1</v>
      </c>
      <c r="J13" s="55">
        <f>I13*'Inputs &amp; Outputs'!B$16*'Benefit Calculations'!G13*('Benefit Calculations'!C$4-'Benefit Calculations'!C$5)</f>
        <v>1633.4565902563081</v>
      </c>
      <c r="K13" s="71">
        <f t="shared" si="3"/>
        <v>0.46815057746459388</v>
      </c>
      <c r="L13" s="56">
        <f>K13*'Assumed Values'!$C$8</f>
        <v>3514.8745356041709</v>
      </c>
      <c r="M13" s="57">
        <f t="shared" si="0"/>
        <v>1911.8588608648959</v>
      </c>
      <c r="N13" s="55">
        <f>I13*'Inputs &amp; Outputs'!B$16*'Benefit Calculations'!G13*('Benefit Calculations'!D$4-'Benefit Calculations'!D$5)</f>
        <v>995.25524788603616</v>
      </c>
      <c r="O13" s="71">
        <f t="shared" si="4"/>
        <v>0.28524132309472988</v>
      </c>
      <c r="P13" s="56">
        <f>ABS(O13*'Assumed Values'!$C$7)</f>
        <v>543.38472049546044</v>
      </c>
      <c r="Q13" s="57">
        <f t="shared" si="1"/>
        <v>295.56528468213702</v>
      </c>
      <c r="T13" s="68">
        <f t="shared" si="5"/>
        <v>0.42469871346664012</v>
      </c>
      <c r="U13" s="69">
        <f>T13*'Assumed Values'!$D$8</f>
        <v>0</v>
      </c>
    </row>
    <row r="14" spans="2:21">
      <c r="C14" s="38"/>
      <c r="F14" s="54">
        <f t="shared" si="2"/>
        <v>2028</v>
      </c>
      <c r="G14" s="63">
        <f t="shared" si="6"/>
        <v>134624.83994029689</v>
      </c>
      <c r="H14" s="62">
        <f t="shared" si="8"/>
        <v>7.4965695084827644E-3</v>
      </c>
      <c r="I14" s="54">
        <f>IF(AND(F14&gt;='Inputs &amp; Outputs'!B$13,F14&lt;'Inputs &amp; Outputs'!B$13+'Inputs &amp; Outputs'!B$19),1,0)</f>
        <v>1</v>
      </c>
      <c r="J14" s="55">
        <f>I14*'Inputs &amp; Outputs'!B$16*'Benefit Calculations'!G14*('Benefit Calculations'!C$4-'Benefit Calculations'!C$5)</f>
        <v>1645.7019111242537</v>
      </c>
      <c r="K14" s="71">
        <f t="shared" si="3"/>
        <v>0.47166010080899351</v>
      </c>
      <c r="L14" s="56">
        <f>K14*'Assumed Values'!$C$8</f>
        <v>3541.2240368739231</v>
      </c>
      <c r="M14" s="57">
        <f t="shared" si="0"/>
        <v>1800.1787324353065</v>
      </c>
      <c r="N14" s="55">
        <f>I14*'Inputs &amp; Outputs'!B$16*'Benefit Calculations'!G14*('Benefit Calculations'!D$4-'Benefit Calculations'!D$5)</f>
        <v>1002.716248030496</v>
      </c>
      <c r="O14" s="71">
        <f t="shared" si="4"/>
        <v>0.28737965450000102</v>
      </c>
      <c r="P14" s="56">
        <f>ABS(O14*'Assumed Values'!$C$7)</f>
        <v>547.45824182250192</v>
      </c>
      <c r="Q14" s="57">
        <f t="shared" si="1"/>
        <v>278.30000970378603</v>
      </c>
      <c r="T14" s="68">
        <f t="shared" si="5"/>
        <v>0.42788249689230595</v>
      </c>
      <c r="U14" s="69">
        <f>T14*'Assumed Values'!$D$8</f>
        <v>0</v>
      </c>
    </row>
    <row r="15" spans="2:21">
      <c r="C15" s="1"/>
      <c r="F15" s="54">
        <f t="shared" si="2"/>
        <v>2029</v>
      </c>
      <c r="G15" s="63">
        <f t="shared" si="6"/>
        <v>135634.0644104777</v>
      </c>
      <c r="H15" s="62">
        <f t="shared" si="8"/>
        <v>7.4965695084827644E-3</v>
      </c>
      <c r="I15" s="54">
        <f>IF(AND(F15&gt;='Inputs &amp; Outputs'!B$13,F15&lt;'Inputs &amp; Outputs'!B$13+'Inputs &amp; Outputs'!B$19),1,0)</f>
        <v>1</v>
      </c>
      <c r="J15" s="55">
        <f>I15*'Inputs &amp; Outputs'!B$16*'Benefit Calculations'!G15*('Benefit Calculations'!C$4-'Benefit Calculations'!C$5)</f>
        <v>1658.0390298912398</v>
      </c>
      <c r="K15" s="71">
        <f t="shared" si="3"/>
        <v>0.47519593353908612</v>
      </c>
      <c r="L15" s="56">
        <f>K15*'Assumed Values'!$C$8</f>
        <v>3567.7710690114586</v>
      </c>
      <c r="M15" s="57">
        <f t="shared" si="0"/>
        <v>1695.0223340473833</v>
      </c>
      <c r="N15" s="55">
        <f>I15*'Inputs &amp; Outputs'!B$16*'Benefit Calculations'!G15*('Benefit Calculations'!D$4-'Benefit Calculations'!D$5)</f>
        <v>1010.2331800811418</v>
      </c>
      <c r="O15" s="71">
        <f t="shared" si="4"/>
        <v>0.28953401605528412</v>
      </c>
      <c r="P15" s="56">
        <f>ABS(O15*'Assumed Values'!$C$7)</f>
        <v>551.56230058531628</v>
      </c>
      <c r="Q15" s="57">
        <f t="shared" si="1"/>
        <v>262.04327576704856</v>
      </c>
      <c r="T15" s="68">
        <f t="shared" si="5"/>
        <v>0.43109014777172233</v>
      </c>
      <c r="U15" s="69">
        <f>T15*'Assumed Values'!$D$8</f>
        <v>0</v>
      </c>
    </row>
    <row r="16" spans="2:21">
      <c r="C16" s="1"/>
      <c r="F16" s="54">
        <f t="shared" si="2"/>
        <v>2030</v>
      </c>
      <c r="G16" s="63">
        <f t="shared" si="6"/>
        <v>136650.85460204887</v>
      </c>
      <c r="H16" s="62">
        <f t="shared" si="8"/>
        <v>7.4965695084827644E-3</v>
      </c>
      <c r="I16" s="54">
        <f>IF(AND(F16&gt;='Inputs &amp; Outputs'!B$13,F16&lt;'Inputs &amp; Outputs'!B$13+'Inputs &amp; Outputs'!B$19),1,0)</f>
        <v>1</v>
      </c>
      <c r="J16" s="55">
        <f>I16*'Inputs &amp; Outputs'!B$16*'Benefit Calculations'!G16*('Benefit Calculations'!C$4-'Benefit Calculations'!C$5)</f>
        <v>1670.4686347265965</v>
      </c>
      <c r="K16" s="71">
        <f t="shared" si="3"/>
        <v>0.47875827288501022</v>
      </c>
      <c r="L16" s="56">
        <f>K16*'Assumed Values'!$C$8</f>
        <v>3594.5171128206566</v>
      </c>
      <c r="M16" s="57">
        <f t="shared" si="0"/>
        <v>1596.008585787851</v>
      </c>
      <c r="N16" s="55">
        <f>I16*'Inputs &amp; Outputs'!B$16*'Benefit Calculations'!G16*('Benefit Calculations'!D$4-'Benefit Calculations'!D$5)</f>
        <v>1017.8064633353955</v>
      </c>
      <c r="O16" s="71">
        <f t="shared" si="4"/>
        <v>0.29170452793171264</v>
      </c>
      <c r="P16" s="56">
        <f>ABS(O16*'Assumed Values'!$C$7)</f>
        <v>555.6971257099126</v>
      </c>
      <c r="Q16" s="57">
        <f t="shared" si="1"/>
        <v>246.73616953090345</v>
      </c>
      <c r="T16" s="68">
        <f t="shared" si="5"/>
        <v>0.43432184502891508</v>
      </c>
      <c r="U16" s="69">
        <f>T16*'Assumed Values'!$D$8</f>
        <v>0</v>
      </c>
    </row>
    <row r="17" spans="3:21">
      <c r="C17" s="1"/>
      <c r="F17" s="54">
        <f t="shared" si="2"/>
        <v>2031</v>
      </c>
      <c r="G17" s="63">
        <f t="shared" si="6"/>
        <v>137675.26723196669</v>
      </c>
      <c r="H17" s="62">
        <f t="shared" si="8"/>
        <v>7.4965695084827644E-3</v>
      </c>
      <c r="I17" s="54">
        <f>IF(AND(F17&gt;='Inputs &amp; Outputs'!B$13,F17&lt;'Inputs &amp; Outputs'!B$13+'Inputs &amp; Outputs'!B$19),1,0)</f>
        <v>1</v>
      </c>
      <c r="J17" s="55">
        <f>I17*'Inputs &amp; Outputs'!B$16*'Benefit Calculations'!G17*('Benefit Calculations'!C$4-'Benefit Calculations'!C$5)</f>
        <v>1682.9914189585647</v>
      </c>
      <c r="K17" s="71">
        <f t="shared" si="3"/>
        <v>0.48234731755545379</v>
      </c>
      <c r="L17" s="56">
        <f>K17*'Assumed Values'!$C$8</f>
        <v>3621.463660206347</v>
      </c>
      <c r="M17" s="57">
        <f t="shared" si="0"/>
        <v>1502.7786683059294</v>
      </c>
      <c r="N17" s="55">
        <f>I17*'Inputs &amp; Outputs'!B$16*'Benefit Calculations'!G17*('Benefit Calculations'!D$4-'Benefit Calculations'!D$5)</f>
        <v>1025.4365202339723</v>
      </c>
      <c r="O17" s="71">
        <f t="shared" si="4"/>
        <v>0.29389131120129186</v>
      </c>
      <c r="P17" s="56">
        <f>ABS(O17*'Assumed Values'!$C$7)</f>
        <v>559.86294783846097</v>
      </c>
      <c r="Q17" s="57">
        <f t="shared" si="1"/>
        <v>232.32321904303609</v>
      </c>
      <c r="T17" s="68">
        <f t="shared" si="5"/>
        <v>0.43757776892922684</v>
      </c>
      <c r="U17" s="69">
        <f>T17*'Assumed Values'!$D$8</f>
        <v>0</v>
      </c>
    </row>
    <row r="18" spans="3:21">
      <c r="F18" s="54">
        <f t="shared" si="2"/>
        <v>2032</v>
      </c>
      <c r="G18" s="63">
        <f t="shared" si="6"/>
        <v>138707.35944237007</v>
      </c>
      <c r="H18" s="62">
        <f t="shared" si="8"/>
        <v>7.4965695084827644E-3</v>
      </c>
      <c r="I18" s="54">
        <f>IF(AND(F18&gt;='Inputs &amp; Outputs'!B$13,F18&lt;'Inputs &amp; Outputs'!B$13+'Inputs &amp; Outputs'!B$19),1,0)</f>
        <v>1</v>
      </c>
      <c r="J18" s="55">
        <f>I18*'Inputs &amp; Outputs'!B$16*'Benefit Calculations'!G18*('Benefit Calculations'!C$4-'Benefit Calculations'!C$5)</f>
        <v>1695.6080811129677</v>
      </c>
      <c r="K18" s="71">
        <f t="shared" si="3"/>
        <v>0.48596326774873855</v>
      </c>
      <c r="L18" s="56">
        <f>K18*'Assumed Values'!$C$8</f>
        <v>3648.6122142575291</v>
      </c>
      <c r="M18" s="57">
        <f t="shared" si="0"/>
        <v>1414.9947224754676</v>
      </c>
      <c r="N18" s="55">
        <f>I18*'Inputs &amp; Outputs'!B$16*'Benefit Calculations'!G18*('Benefit Calculations'!D$4-'Benefit Calculations'!D$5)</f>
        <v>1033.1237763844429</v>
      </c>
      <c r="O18" s="71">
        <f t="shared" si="4"/>
        <v>0.2960944878436515</v>
      </c>
      <c r="P18" s="56">
        <f>ABS(O18*'Assumed Values'!$C$7)</f>
        <v>564.05999934215606</v>
      </c>
      <c r="Q18" s="57">
        <f t="shared" si="1"/>
        <v>218.75219271310905</v>
      </c>
      <c r="T18" s="68">
        <f t="shared" si="5"/>
        <v>0.44085810108937162</v>
      </c>
      <c r="U18" s="69">
        <f>T18*'Assumed Values'!$D$8</f>
        <v>0</v>
      </c>
    </row>
    <row r="19" spans="3:21">
      <c r="F19" s="54">
        <f t="shared" si="2"/>
        <v>2033</v>
      </c>
      <c r="G19" s="63">
        <f t="shared" si="6"/>
        <v>139747.1888037679</v>
      </c>
      <c r="H19" s="62">
        <f t="shared" si="8"/>
        <v>7.4965695084827644E-3</v>
      </c>
      <c r="I19" s="54">
        <f>IF(AND(F19&gt;='Inputs &amp; Outputs'!B$13,F19&lt;'Inputs &amp; Outputs'!B$13+'Inputs &amp; Outputs'!B$19),1,0)</f>
        <v>1</v>
      </c>
      <c r="J19" s="55">
        <f>I19*'Inputs &amp; Outputs'!B$16*'Benefit Calculations'!G19*('Benefit Calculations'!C$4-'Benefit Calculations'!C$5)</f>
        <v>1708.3193249521762</v>
      </c>
      <c r="K19" s="71">
        <f t="shared" si="3"/>
        <v>0.48960632516398639</v>
      </c>
      <c r="L19" s="56">
        <f>K19*'Assumed Values'!$C$8</f>
        <v>3675.9642893312098</v>
      </c>
      <c r="M19" s="57">
        <f t="shared" si="0"/>
        <v>1332.3386250155525</v>
      </c>
      <c r="N19" s="55">
        <f>I19*'Inputs &amp; Outputs'!B$16*'Benefit Calculations'!G19*('Benefit Calculations'!D$4-'Benefit Calculations'!D$5)</f>
        <v>1040.8686605849753</v>
      </c>
      <c r="O19" s="71">
        <f t="shared" si="4"/>
        <v>0.2983141807528501</v>
      </c>
      <c r="P19" s="56">
        <f>ABS(O19*'Assumed Values'!$C$7)</f>
        <v>568.28851433417947</v>
      </c>
      <c r="Q19" s="57">
        <f t="shared" si="1"/>
        <v>205.97391002889341</v>
      </c>
      <c r="T19" s="68">
        <f t="shared" si="5"/>
        <v>0.44416302448756578</v>
      </c>
      <c r="U19" s="69">
        <f>T19*'Assumed Values'!$D$8</f>
        <v>0</v>
      </c>
    </row>
    <row r="20" spans="3:21">
      <c r="F20" s="54">
        <f t="shared" si="2"/>
        <v>2034</v>
      </c>
      <c r="G20" s="63">
        <f t="shared" si="6"/>
        <v>140794.81331825041</v>
      </c>
      <c r="H20" s="62">
        <f t="shared" si="8"/>
        <v>7.4965695084827644E-3</v>
      </c>
      <c r="I20" s="54">
        <f>IF(AND(F20&gt;='Inputs &amp; Outputs'!B$13,F20&lt;'Inputs &amp; Outputs'!B$13+'Inputs &amp; Outputs'!B$19),1,0)</f>
        <v>1</v>
      </c>
      <c r="J20" s="55">
        <f>I20*'Inputs &amp; Outputs'!B$16*'Benefit Calculations'!G20*('Benefit Calculations'!C$4-'Benefit Calculations'!C$5)</f>
        <v>1721.1258595143645</v>
      </c>
      <c r="K20" s="71">
        <f t="shared" si="3"/>
        <v>0.49327669301237098</v>
      </c>
      <c r="L20" s="56">
        <f>K20*'Assumed Values'!$C$8</f>
        <v>3703.5214111368814</v>
      </c>
      <c r="M20" s="57">
        <f t="shared" si="0"/>
        <v>1254.5108356325402</v>
      </c>
      <c r="N20" s="55">
        <f>I20*'Inputs &amp; Outputs'!B$16*'Benefit Calculations'!G20*('Benefit Calculations'!D$4-'Benefit Calculations'!D$5)</f>
        <v>1048.6716048482517</v>
      </c>
      <c r="O20" s="71">
        <f t="shared" si="4"/>
        <v>0.30055051374422986</v>
      </c>
      <c r="P20" s="56">
        <f>ABS(O20*'Assumed Values'!$C$7)</f>
        <v>572.54872868275788</v>
      </c>
      <c r="Q20" s="57">
        <f t="shared" si="1"/>
        <v>193.94206332930742</v>
      </c>
      <c r="T20" s="68">
        <f t="shared" si="5"/>
        <v>0.44749272347373475</v>
      </c>
      <c r="U20" s="69">
        <f>T20*'Assumed Values'!$D$8</f>
        <v>0</v>
      </c>
    </row>
    <row r="21" spans="3:21">
      <c r="F21" s="54">
        <f t="shared" si="2"/>
        <v>2035</v>
      </c>
      <c r="G21" s="63">
        <f t="shared" si="6"/>
        <v>141850.29142272452</v>
      </c>
      <c r="H21" s="62">
        <f t="shared" si="8"/>
        <v>7.4965695084827644E-3</v>
      </c>
      <c r="I21" s="54">
        <f>IF(AND(F21&gt;='Inputs &amp; Outputs'!B$13,F21&lt;'Inputs &amp; Outputs'!B$13+'Inputs &amp; Outputs'!B$19),1,0)</f>
        <v>1</v>
      </c>
      <c r="J21" s="55">
        <f>I21*'Inputs &amp; Outputs'!B$16*'Benefit Calculations'!G21*('Benefit Calculations'!C$4-'Benefit Calculations'!C$5)</f>
        <v>1734.0283991530609</v>
      </c>
      <c r="K21" s="71">
        <f t="shared" si="3"/>
        <v>0.49697457602845274</v>
      </c>
      <c r="L21" s="56">
        <f>K21*'Assumed Values'!$C$8</f>
        <v>3731.285116821623</v>
      </c>
      <c r="M21" s="57">
        <f t="shared" si="0"/>
        <v>1181.2293115056113</v>
      </c>
      <c r="N21" s="55">
        <f>I21*'Inputs &amp; Outputs'!B$16*'Benefit Calculations'!G21*('Benefit Calculations'!D$4-'Benefit Calculations'!D$5)</f>
        <v>1056.5330444255687</v>
      </c>
      <c r="O21" s="71">
        <f t="shared" si="4"/>
        <v>0.30280361156132368</v>
      </c>
      <c r="P21" s="56">
        <f>ABS(O21*'Assumed Values'!$C$7)</f>
        <v>576.84088002432156</v>
      </c>
      <c r="Q21" s="57">
        <f t="shared" si="1"/>
        <v>182.6130499884805</v>
      </c>
      <c r="T21" s="68">
        <f t="shared" si="5"/>
        <v>0.45084738377979583</v>
      </c>
      <c r="U21" s="69">
        <f>T21*'Assumed Values'!$D$8</f>
        <v>0</v>
      </c>
    </row>
    <row r="22" spans="3:21">
      <c r="F22" s="54">
        <f t="shared" si="2"/>
        <v>2036</v>
      </c>
      <c r="G22" s="63">
        <f t="shared" si="6"/>
        <v>142913.68199217352</v>
      </c>
      <c r="H22" s="62">
        <f t="shared" si="8"/>
        <v>7.4965695084827644E-3</v>
      </c>
      <c r="I22" s="54">
        <f>IF(AND(F22&gt;='Inputs &amp; Outputs'!B$13,F22&lt;'Inputs &amp; Outputs'!B$13+'Inputs &amp; Outputs'!B$19),1,0)</f>
        <v>1</v>
      </c>
      <c r="J22" s="55">
        <f>I22*'Inputs &amp; Outputs'!B$16*'Benefit Calculations'!G22*('Benefit Calculations'!C$4-'Benefit Calculations'!C$5)</f>
        <v>1747.0276635769949</v>
      </c>
      <c r="K22" s="71">
        <f t="shared" si="3"/>
        <v>0.5007001804815987</v>
      </c>
      <c r="L22" s="56">
        <f>K22*'Assumed Values'!$C$8</f>
        <v>3759.2569550558433</v>
      </c>
      <c r="M22" s="57">
        <f t="shared" si="0"/>
        <v>1112.2284851820284</v>
      </c>
      <c r="N22" s="55">
        <f>I22*'Inputs &amp; Outputs'!B$16*'Benefit Calculations'!G22*('Benefit Calculations'!D$4-'Benefit Calculations'!D$5)</f>
        <v>1064.4534178311139</v>
      </c>
      <c r="O22" s="71">
        <f t="shared" si="4"/>
        <v>0.30507359988281274</v>
      </c>
      <c r="P22" s="56">
        <f>ABS(O22*'Assumed Values'!$C$7)</f>
        <v>581.16520777675828</v>
      </c>
      <c r="Q22" s="57">
        <f t="shared" si="1"/>
        <v>171.94581440268709</v>
      </c>
      <c r="T22" s="68">
        <f t="shared" si="5"/>
        <v>0.4542271925300187</v>
      </c>
      <c r="U22" s="69">
        <f>T22*'Assumed Values'!$D$8</f>
        <v>0</v>
      </c>
    </row>
    <row r="23" spans="3:21">
      <c r="F23" s="54">
        <f t="shared" si="2"/>
        <v>2037</v>
      </c>
      <c r="G23" s="63">
        <f t="shared" si="6"/>
        <v>143985.04434294105</v>
      </c>
      <c r="H23" s="62">
        <f t="shared" si="8"/>
        <v>7.4965695084827644E-3</v>
      </c>
      <c r="I23" s="54">
        <f>IF(AND(F23&gt;='Inputs &amp; Outputs'!B$13,F23&lt;'Inputs &amp; Outputs'!B$13+'Inputs &amp; Outputs'!B$19),1,0)</f>
        <v>1</v>
      </c>
      <c r="J23" s="55">
        <f>I23*'Inputs &amp; Outputs'!B$16*'Benefit Calculations'!G23*('Benefit Calculations'!C$4-'Benefit Calculations'!C$5)</f>
        <v>1760.1243778902422</v>
      </c>
      <c r="K23" s="71">
        <f t="shared" si="3"/>
        <v>0.50445371418748886</v>
      </c>
      <c r="L23" s="56">
        <f>K23*'Assumed Values'!$C$8</f>
        <v>3787.4384861196663</v>
      </c>
      <c r="M23" s="57">
        <f t="shared" si="0"/>
        <v>1047.2583021780465</v>
      </c>
      <c r="N23" s="55">
        <f>I23*'Inputs &amp; Outputs'!B$16*'Benefit Calculations'!G23*('Benefit Calculations'!D$4-'Benefit Calculations'!D$5)</f>
        <v>1072.433166866427</v>
      </c>
      <c r="O23" s="71">
        <f t="shared" si="4"/>
        <v>0.30736060532953735</v>
      </c>
      <c r="P23" s="56">
        <f>ABS(O23*'Assumed Values'!$C$7)</f>
        <v>585.52195315276867</v>
      </c>
      <c r="Q23" s="57">
        <f t="shared" si="1"/>
        <v>161.90169920752291</v>
      </c>
      <c r="T23" s="68">
        <f t="shared" si="5"/>
        <v>0.45763233825146299</v>
      </c>
      <c r="U23" s="69">
        <f>T23*'Assumed Values'!$D$8</f>
        <v>0</v>
      </c>
    </row>
    <row r="24" spans="3:21">
      <c r="F24" s="54">
        <f t="shared" si="2"/>
        <v>2038</v>
      </c>
      <c r="G24" s="63">
        <f t="shared" si="6"/>
        <v>145064.43823603989</v>
      </c>
      <c r="H24" s="62">
        <f t="shared" si="8"/>
        <v>7.4965695084827644E-3</v>
      </c>
      <c r="I24" s="54">
        <f>IF(AND(F24&gt;='Inputs &amp; Outputs'!B$13,F24&lt;'Inputs &amp; Outputs'!B$13+'Inputs &amp; Outputs'!B$19),1,0)</f>
        <v>1</v>
      </c>
      <c r="J24" s="55">
        <f>I24*'Inputs &amp; Outputs'!B$16*'Benefit Calculations'!G24*('Benefit Calculations'!C$4-'Benefit Calculations'!C$5)</f>
        <v>1773.3192726326713</v>
      </c>
      <c r="K24" s="71">
        <f t="shared" si="3"/>
        <v>0.50823538651970768</v>
      </c>
      <c r="L24" s="56">
        <f>K24*'Assumed Values'!$C$8</f>
        <v>3815.8312819899652</v>
      </c>
      <c r="M24" s="57">
        <f t="shared" si="0"/>
        <v>986.08331479781305</v>
      </c>
      <c r="N24" s="55">
        <f>I24*'Inputs &amp; Outputs'!B$16*'Benefit Calculations'!G24*('Benefit Calculations'!D$4-'Benefit Calculations'!D$5)</f>
        <v>1080.4727366450434</v>
      </c>
      <c r="O24" s="71">
        <f t="shared" si="4"/>
        <v>0.30966475547155953</v>
      </c>
      <c r="P24" s="56">
        <f>ABS(O24*'Assumed Values'!$C$7)</f>
        <v>589.91135917332088</v>
      </c>
      <c r="Q24" s="57">
        <f t="shared" si="1"/>
        <v>152.44430518614351</v>
      </c>
      <c r="T24" s="68">
        <f t="shared" si="5"/>
        <v>0.46106301088449453</v>
      </c>
      <c r="U24" s="69">
        <f>T24*'Assumed Values'!$D$8</f>
        <v>0</v>
      </c>
    </row>
    <row r="25" spans="3:21">
      <c r="F25" s="54">
        <f t="shared" si="2"/>
        <v>2039</v>
      </c>
      <c r="G25" s="63">
        <f t="shared" si="6"/>
        <v>146151.92388048535</v>
      </c>
      <c r="H25" s="62">
        <f t="shared" si="8"/>
        <v>7.4965695084827644E-3</v>
      </c>
      <c r="I25" s="54">
        <f>IF(AND(F25&gt;='Inputs &amp; Outputs'!B$13,F25&lt;'Inputs &amp; Outputs'!B$13+'Inputs &amp; Outputs'!B$19),1,0)</f>
        <v>1</v>
      </c>
      <c r="J25" s="55">
        <f>I25*'Inputs &amp; Outputs'!B$16*'Benefit Calculations'!G25*('Benefit Calculations'!C$4-'Benefit Calculations'!C$5)</f>
        <v>1786.6130838206941</v>
      </c>
      <c r="K25" s="71">
        <f t="shared" si="3"/>
        <v>0.51204540842142321</v>
      </c>
      <c r="L25" s="56">
        <f>K25*'Assumed Values'!$C$8</f>
        <v>3844.4369264280454</v>
      </c>
      <c r="M25" s="57">
        <f t="shared" si="0"/>
        <v>928.48182888630811</v>
      </c>
      <c r="N25" s="55">
        <f>I25*'Inputs &amp; Outputs'!B$16*'Benefit Calculations'!G25*('Benefit Calculations'!D$4-'Benefit Calculations'!D$5)</f>
        <v>1088.5725756173235</v>
      </c>
      <c r="O25" s="71">
        <f t="shared" si="4"/>
        <v>0.3119861788352794</v>
      </c>
      <c r="P25" s="56">
        <f>ABS(O25*'Assumed Values'!$C$7)</f>
        <v>594.33367068120731</v>
      </c>
      <c r="Q25" s="57">
        <f t="shared" si="1"/>
        <v>143.53935936088206</v>
      </c>
      <c r="T25" s="68">
        <f t="shared" si="5"/>
        <v>0.46451940179338042</v>
      </c>
      <c r="U25" s="69">
        <f>T25*'Assumed Values'!$D$8</f>
        <v>0</v>
      </c>
    </row>
    <row r="26" spans="3:21">
      <c r="F26" s="54">
        <f t="shared" si="2"/>
        <v>2040</v>
      </c>
      <c r="G26" s="63">
        <f t="shared" si="6"/>
        <v>147247.56193665389</v>
      </c>
      <c r="H26" s="62">
        <f t="shared" si="8"/>
        <v>7.4965695084827644E-3</v>
      </c>
      <c r="I26" s="54">
        <f>IF(AND(F26&gt;='Inputs &amp; Outputs'!B$13,F26&lt;'Inputs &amp; Outputs'!B$13+'Inputs &amp; Outputs'!B$19),1,0)</f>
        <v>1</v>
      </c>
      <c r="J26" s="55">
        <f>I26*'Inputs &amp; Outputs'!B$16*'Benefit Calculations'!G26*('Benefit Calculations'!C$4-'Benefit Calculations'!C$5)</f>
        <v>1800.0065529883209</v>
      </c>
      <c r="K26" s="71">
        <f t="shared" si="3"/>
        <v>0.51588399241715399</v>
      </c>
      <c r="L26" s="56">
        <f>K26*'Assumed Values'!$C$8</f>
        <v>3873.2570150679921</v>
      </c>
      <c r="M26" s="57">
        <f t="shared" si="0"/>
        <v>874.2451004242223</v>
      </c>
      <c r="N26" s="55">
        <f>I26*'Inputs &amp; Outputs'!B$16*'Benefit Calculations'!G26*('Benefit Calculations'!D$4-'Benefit Calculations'!D$5)</f>
        <v>1096.733135595467</v>
      </c>
      <c r="O26" s="71">
        <f t="shared" si="4"/>
        <v>0.31432500491060406</v>
      </c>
      <c r="P26" s="56">
        <f>ABS(O26*'Assumed Values'!$C$7)</f>
        <v>598.78913435470076</v>
      </c>
      <c r="Q26" s="57">
        <f t="shared" si="1"/>
        <v>135.15459079021872</v>
      </c>
      <c r="T26" s="68">
        <f t="shared" si="5"/>
        <v>0.46800170377696343</v>
      </c>
      <c r="U26" s="69">
        <f>T26*'Assumed Values'!$D$8</f>
        <v>0</v>
      </c>
    </row>
    <row r="27" spans="3:21">
      <c r="F27" s="54">
        <f t="shared" si="2"/>
        <v>2041</v>
      </c>
      <c r="G27" s="63">
        <f t="shared" si="6"/>
        <v>148351.41351966665</v>
      </c>
      <c r="H27" s="62">
        <f t="shared" si="8"/>
        <v>7.4965695084827644E-3</v>
      </c>
      <c r="I27" s="54">
        <f>IF(AND(F27&gt;='Inputs &amp; Outputs'!B$13,F27&lt;'Inputs &amp; Outputs'!B$13+'Inputs &amp; Outputs'!B$19),1,0)</f>
        <v>1</v>
      </c>
      <c r="J27" s="55">
        <f>I27*'Inputs &amp; Outputs'!B$16*'Benefit Calculations'!G27*('Benefit Calculations'!C$4-'Benefit Calculations'!C$5)</f>
        <v>1813.5004272285223</v>
      </c>
      <c r="K27" s="71">
        <f t="shared" si="3"/>
        <v>0.5197513526246228</v>
      </c>
      <c r="L27" s="56">
        <f>K27*'Assumed Values'!$C$8</f>
        <v>3902.293155505668</v>
      </c>
      <c r="M27" s="57">
        <f t="shared" si="0"/>
        <v>823.17657905327383</v>
      </c>
      <c r="N27" s="55">
        <f>I27*'Inputs &amp; Outputs'!B$16*'Benefit Calculations'!G27*('Benefit Calculations'!D$4-'Benefit Calculations'!D$5)</f>
        <v>1104.9548717787145</v>
      </c>
      <c r="O27" s="71">
        <f t="shared" si="4"/>
        <v>0.3166813641581705</v>
      </c>
      <c r="P27" s="56">
        <f>ABS(O27*'Assumed Values'!$C$7)</f>
        <v>603.27799872131482</v>
      </c>
      <c r="Q27" s="57">
        <f t="shared" si="1"/>
        <v>127.25961362099822</v>
      </c>
      <c r="T27" s="68">
        <f t="shared" si="5"/>
        <v>0.47151011107941576</v>
      </c>
      <c r="U27" s="69">
        <f>T27*'Assumed Values'!$D$8</f>
        <v>0</v>
      </c>
    </row>
    <row r="28" spans="3:21">
      <c r="F28" s="54">
        <f t="shared" si="2"/>
        <v>2042</v>
      </c>
      <c r="G28" s="63">
        <f t="shared" si="6"/>
        <v>149463.5402027985</v>
      </c>
      <c r="H28" s="62">
        <f t="shared" si="8"/>
        <v>7.4965695084827644E-3</v>
      </c>
      <c r="I28" s="54">
        <f>IF(AND(F28&gt;='Inputs &amp; Outputs'!B$13,F28&lt;'Inputs &amp; Outputs'!B$13+'Inputs &amp; Outputs'!B$19),1,0)</f>
        <v>0</v>
      </c>
      <c r="J28" s="55">
        <f>I28*'Inputs &amp; Outputs'!B$16*'Benefit Calculations'!G28*('Benefit Calculations'!C$4-'Benefit Calculations'!C$5)</f>
        <v>0</v>
      </c>
      <c r="K28" s="71">
        <f t="shared" si="3"/>
        <v>0</v>
      </c>
      <c r="L28" s="56">
        <f>K28*'Assumed Values'!$C$8</f>
        <v>0</v>
      </c>
      <c r="M28" s="57">
        <f t="shared" si="0"/>
        <v>0</v>
      </c>
      <c r="N28" s="55">
        <f>I28*'Inputs &amp; Outputs'!B$16*'Benefit Calculations'!G28*('Benefit Calculations'!D$4-'Benefit Calculations'!D$5)</f>
        <v>0</v>
      </c>
      <c r="O28" s="71">
        <f t="shared" si="4"/>
        <v>0</v>
      </c>
      <c r="P28" s="56">
        <f>ABS(O28*'Assumed Values'!$C$7)</f>
        <v>0</v>
      </c>
      <c r="Q28" s="57">
        <f t="shared" si="1"/>
        <v>0</v>
      </c>
      <c r="T28" s="68">
        <f t="shared" si="5"/>
        <v>0</v>
      </c>
      <c r="U28" s="69">
        <f>T28*'Assumed Values'!$D$8</f>
        <v>0</v>
      </c>
    </row>
    <row r="29" spans="3:21">
      <c r="F29" s="54">
        <f t="shared" si="2"/>
        <v>2043</v>
      </c>
      <c r="G29" s="63">
        <f t="shared" si="6"/>
        <v>150584.00402091269</v>
      </c>
      <c r="H29" s="62">
        <f t="shared" si="8"/>
        <v>7.4965695084827644E-3</v>
      </c>
      <c r="I29" s="54">
        <f>IF(AND(F29&gt;='Inputs &amp; Outputs'!B$13,F29&lt;'Inputs &amp; Outputs'!B$13+'Inputs &amp; Outputs'!B$19),1,0)</f>
        <v>0</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151712.8674739211</v>
      </c>
      <c r="H30" s="62">
        <f t="shared" si="8"/>
        <v>7.4965695084827644E-3</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158666</v>
      </c>
      <c r="H31" s="62">
        <f t="shared" si="8"/>
        <v>7.4965695084827644E-3</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159855.45069763291</v>
      </c>
      <c r="H32" s="62">
        <f t="shared" si="8"/>
        <v>7.4965695084827644E-3</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161053.81819509756</v>
      </c>
      <c r="H33" s="62">
        <f t="shared" si="8"/>
        <v>7.4965695084827644E-3</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162261.16933780364</v>
      </c>
      <c r="H34" s="62">
        <f t="shared" si="8"/>
        <v>7.4965695084827644E-3</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163477.57147227219</v>
      </c>
      <c r="H35" s="62">
        <f t="shared" si="8"/>
        <v>7.4965695084827644E-3</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164703.09244989205</v>
      </c>
      <c r="H36" s="62">
        <f t="shared" si="8"/>
        <v>7.4965695084827644E-3</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33632.37674573432</v>
      </c>
      <c r="K37" s="55">
        <f t="shared" ref="K37:Q37" si="9">SUM(K4:K36)</f>
        <v>9.6390786807206954</v>
      </c>
      <c r="L37" s="58">
        <f t="shared" si="9"/>
        <v>72370.202734850987</v>
      </c>
      <c r="M37" s="59">
        <f t="shared" si="9"/>
        <v>30662.95804108158</v>
      </c>
      <c r="N37" s="55">
        <f t="shared" si="9"/>
        <v>20492.004290006938</v>
      </c>
      <c r="O37" s="55">
        <f t="shared" si="9"/>
        <v>5.8730324999138022</v>
      </c>
      <c r="P37" s="55">
        <f t="shared" si="9"/>
        <v>11188.126912335792</v>
      </c>
      <c r="Q37" s="59">
        <f t="shared" si="9"/>
        <v>4740.3634798171124</v>
      </c>
      <c r="T37" s="68">
        <f>SUM(T4:T36)</f>
        <v>8.7444179538909239</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55</v>
      </c>
      <c r="H2" s="92" t="s">
        <v>118</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55</v>
      </c>
      <c r="H21" s="92" t="s">
        <v>118</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55</v>
      </c>
      <c r="H2" s="92" t="s">
        <v>118</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55</v>
      </c>
      <c r="H21" s="92" t="s">
        <v>118</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9ABB78-5595-4856-838B-54D4C6A5CC82}"/>
</file>

<file path=customXml/itemProps2.xml><?xml version="1.0" encoding="utf-8"?>
<ds:datastoreItem xmlns:ds="http://schemas.openxmlformats.org/officeDocument/2006/customXml" ds:itemID="{008FA03A-086F-459E-A46F-42E61E23DF00}"/>
</file>

<file path=customXml/itemProps3.xml><?xml version="1.0" encoding="utf-8"?>
<ds:datastoreItem xmlns:ds="http://schemas.openxmlformats.org/officeDocument/2006/customXml" ds:itemID="{0595CC2D-8FB6-4DBE-B607-E9747154A746}"/>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2018-10-31T01:35:00Z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