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Y:\City_of_Mont_Belvieu\6228-00_HGAC_TIP_Application_Support\04_ENGR\03_Documents\TMC\TIP Application Package\"/>
    </mc:Choice>
  </mc:AlternateContent>
  <xr:revisionPtr revIDLastSave="0" documentId="13_ncr:1_{7B933E55-8085-4D35-BB2A-507533F49F08}" xr6:coauthVersionLast="36" xr6:coauthVersionMax="36" xr10:uidLastSave="{00000000-0000-0000-0000-000000000000}"/>
  <bookViews>
    <workbookView xWindow="0" yWindow="0" windowWidth="28800" windowHeight="1402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15" i="15"/>
  <c r="O16" i="15"/>
  <c r="O17" i="15"/>
  <c r="O18" i="15"/>
  <c r="O19" i="15"/>
  <c r="O20" i="15"/>
  <c r="O21" i="15"/>
  <c r="O36" i="15" l="1"/>
  <c r="O22" i="15"/>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s="1"/>
  <c r="J7" i="7" s="1"/>
  <c r="M10" i="12"/>
  <c r="J6" i="7"/>
  <c r="J5" i="7"/>
  <c r="J4" i="7"/>
  <c r="P10" i="12" l="1"/>
  <c r="P11" i="12" s="1"/>
  <c r="H8" i="7"/>
  <c r="I8" i="7" s="1"/>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G19" i="7" l="1"/>
  <c r="H18" i="7"/>
  <c r="I18" i="7" s="1"/>
  <c r="J18" i="7" s="1"/>
  <c r="H27" i="5"/>
  <c r="I27" i="5" s="1"/>
  <c r="J27" i="5"/>
  <c r="K27" i="5" s="1"/>
  <c r="G28" i="5"/>
  <c r="S20" i="12"/>
  <c r="P21" i="12"/>
  <c r="Q20" i="12"/>
  <c r="M21" i="12"/>
  <c r="H28" i="5" l="1"/>
  <c r="I28" i="5" s="1"/>
  <c r="J28" i="5"/>
  <c r="K28" i="5" s="1"/>
  <c r="G29" i="5"/>
  <c r="G20" i="7"/>
  <c r="H19" i="7"/>
  <c r="I19" i="7" s="1"/>
  <c r="J19" i="7" s="1"/>
  <c r="S21" i="12"/>
  <c r="P22" i="12"/>
  <c r="Q21" i="12"/>
  <c r="M22" i="12"/>
  <c r="H20" i="7" l="1"/>
  <c r="I20" i="7" s="1"/>
  <c r="J20" i="7" s="1"/>
  <c r="G21" i="7"/>
  <c r="J29" i="5"/>
  <c r="K29" i="5" s="1"/>
  <c r="H29" i="5"/>
  <c r="S22" i="12"/>
  <c r="P23" i="12"/>
  <c r="Q22" i="12"/>
  <c r="M23" i="12"/>
  <c r="H21" i="7" l="1"/>
  <c r="I21" i="7" s="1"/>
  <c r="J21" i="7" s="1"/>
  <c r="G22" i="7"/>
  <c r="I29" i="5"/>
  <c r="B13" i="5"/>
  <c r="S23" i="12"/>
  <c r="P24" i="12"/>
  <c r="Q23" i="12"/>
  <c r="M24" i="12"/>
  <c r="T4" i="12" l="1"/>
  <c r="U4" i="12" s="1"/>
  <c r="G23" i="7"/>
  <c r="H22" i="7"/>
  <c r="I22" i="7" s="1"/>
  <c r="J22" i="7" s="1"/>
  <c r="S24" i="12"/>
  <c r="P25" i="12"/>
  <c r="Q24" i="12"/>
  <c r="M25" i="12"/>
  <c r="T5" i="12" l="1"/>
  <c r="U5" i="12" s="1"/>
  <c r="G24" i="7"/>
  <c r="H23" i="7"/>
  <c r="I23" i="7" s="1"/>
  <c r="J23" i="7" s="1"/>
  <c r="S25" i="12"/>
  <c r="P26" i="12"/>
  <c r="Q25" i="12"/>
  <c r="M26" i="12"/>
  <c r="T6" i="12" l="1"/>
  <c r="U6" i="12" s="1"/>
  <c r="H24" i="7"/>
  <c r="I24" i="7"/>
  <c r="J24" i="7" s="1"/>
  <c r="G25" i="7"/>
  <c r="S26" i="12"/>
  <c r="P27" i="12"/>
  <c r="Q26" i="12"/>
  <c r="M27" i="12"/>
  <c r="H25" i="7" l="1"/>
  <c r="I25" i="7" s="1"/>
  <c r="J25" i="7" s="1"/>
  <c r="G26" i="7"/>
  <c r="S27" i="12"/>
  <c r="P28" i="12"/>
  <c r="Q27" i="12"/>
  <c r="M28" i="12"/>
  <c r="G27" i="7" l="1"/>
  <c r="H26" i="7"/>
  <c r="I26" i="7" s="1"/>
  <c r="J26" i="7" s="1"/>
  <c r="S28" i="12"/>
  <c r="P29" i="12"/>
  <c r="Q28" i="12"/>
  <c r="M29" i="12"/>
  <c r="G28" i="7" l="1"/>
  <c r="H27" i="7"/>
  <c r="I27" i="7" s="1"/>
  <c r="J27" i="7" s="1"/>
  <c r="Q29" i="12"/>
  <c r="P30" i="12"/>
  <c r="Q30" i="12" s="1"/>
  <c r="M30" i="12"/>
  <c r="S29" i="12"/>
  <c r="H28" i="7" l="1"/>
  <c r="I28" i="7"/>
  <c r="J28" i="7" s="1"/>
  <c r="G29" i="7"/>
  <c r="P31" i="12"/>
  <c r="Q31" i="12" s="1"/>
  <c r="S30" i="12"/>
  <c r="M31" i="12"/>
  <c r="M32" i="12" s="1"/>
  <c r="H29" i="7" l="1"/>
  <c r="I29" i="7" s="1"/>
  <c r="J29" i="7" s="1"/>
  <c r="B11" i="7" s="1"/>
  <c r="B12" i="7" s="1"/>
  <c r="M33" i="12"/>
  <c r="S32" i="12"/>
  <c r="P32" i="12"/>
  <c r="Q32" i="12" s="1"/>
  <c r="S31" i="12"/>
  <c r="M34" i="12" l="1"/>
  <c r="S33" i="12"/>
  <c r="P33" i="12"/>
  <c r="Q33" i="12" s="1"/>
  <c r="S34" i="12" l="1"/>
  <c r="M35" i="12"/>
  <c r="P34" i="12"/>
  <c r="Q34" i="12" s="1"/>
  <c r="M36" i="12" l="1"/>
  <c r="E4" i="12" s="1"/>
  <c r="E5" i="12" s="1"/>
  <c r="E6" i="12" s="1"/>
  <c r="S35" i="12"/>
  <c r="P35" i="12"/>
  <c r="Q35" i="12" s="1"/>
  <c r="E17" i="12" l="1"/>
  <c r="D26" i="12" s="1"/>
  <c r="E18" i="12"/>
  <c r="E26" i="12" s="1"/>
  <c r="E20" i="12"/>
  <c r="G26" i="12" s="1"/>
  <c r="E21" i="12"/>
  <c r="H26" i="12" s="1"/>
  <c r="E19" i="12"/>
  <c r="F26" i="12" s="1"/>
  <c r="E22" i="12"/>
  <c r="I26" i="12" s="1"/>
  <c r="S36" i="12"/>
  <c r="P36" i="12"/>
  <c r="Q36" i="12" s="1"/>
  <c r="G28" i="12" l="1"/>
  <c r="G27" i="12"/>
  <c r="G29" i="12"/>
  <c r="G31" i="12"/>
  <c r="G32" i="12"/>
  <c r="G30" i="12"/>
  <c r="G33" i="12"/>
  <c r="H31" i="12"/>
  <c r="H29" i="12"/>
  <c r="H32" i="12"/>
  <c r="H30" i="12"/>
  <c r="H27" i="12"/>
  <c r="H33" i="12"/>
  <c r="H28" i="12"/>
  <c r="I31" i="12"/>
  <c r="I30" i="12"/>
  <c r="I27" i="12"/>
  <c r="I29" i="12"/>
  <c r="I28" i="12"/>
  <c r="I33" i="12"/>
  <c r="I32" i="12"/>
  <c r="E32" i="12"/>
  <c r="E28" i="12"/>
  <c r="E29" i="12"/>
  <c r="E33" i="12"/>
  <c r="E31" i="12"/>
  <c r="E30" i="12"/>
  <c r="E27" i="12"/>
  <c r="F28" i="12"/>
  <c r="F27" i="12"/>
  <c r="F32" i="12"/>
  <c r="F29" i="12"/>
  <c r="F33" i="12"/>
  <c r="F31" i="12"/>
  <c r="F30" i="12"/>
  <c r="D27" i="12"/>
  <c r="D31" i="12"/>
  <c r="D29" i="12"/>
  <c r="D32" i="12"/>
  <c r="D28" i="12"/>
  <c r="D30" i="12"/>
  <c r="D33" i="12"/>
  <c r="J30" i="12" l="1"/>
  <c r="J31" i="12"/>
  <c r="J28" i="12"/>
  <c r="J27" i="12"/>
  <c r="J32" i="12"/>
  <c r="J33" i="12"/>
  <c r="J29" i="12"/>
  <c r="J5" i="12" l="1"/>
  <c r="R7" i="12" s="1"/>
  <c r="R8" i="12" s="1"/>
  <c r="T7" i="12" l="1"/>
  <c r="U7" i="12" s="1"/>
  <c r="R9" i="12"/>
  <c r="T8" i="12"/>
  <c r="U8" i="12" s="1"/>
  <c r="T9" i="12" l="1"/>
  <c r="U9" i="12" s="1"/>
  <c r="R10" i="12"/>
  <c r="R11" i="12" l="1"/>
  <c r="T10" i="12"/>
  <c r="U10" i="12" s="1"/>
  <c r="T11" i="12" l="1"/>
  <c r="U11" i="12" s="1"/>
  <c r="R12" i="12"/>
  <c r="R13" i="12" l="1"/>
  <c r="T12" i="12"/>
  <c r="U12" i="12" s="1"/>
  <c r="R14" i="12" l="1"/>
  <c r="T13" i="12"/>
  <c r="U13" i="12" s="1"/>
  <c r="R15" i="12" l="1"/>
  <c r="T14" i="12"/>
  <c r="U14" i="12" s="1"/>
  <c r="R16" i="12" l="1"/>
  <c r="T15" i="12"/>
  <c r="U15" i="12" s="1"/>
  <c r="R17" i="12" l="1"/>
  <c r="T16" i="12"/>
  <c r="U16" i="12" s="1"/>
  <c r="R18" i="12" l="1"/>
  <c r="T17" i="12"/>
  <c r="U17" i="12" s="1"/>
  <c r="R19" i="12" l="1"/>
  <c r="T18" i="12"/>
  <c r="U18" i="12" s="1"/>
  <c r="R20" i="12" l="1"/>
  <c r="T19" i="12"/>
  <c r="U19" i="12" s="1"/>
  <c r="R21" i="12" l="1"/>
  <c r="T20" i="12"/>
  <c r="U20" i="12" s="1"/>
  <c r="R22" i="12" l="1"/>
  <c r="T21" i="12"/>
  <c r="U21" i="12" s="1"/>
  <c r="R23" i="12" l="1"/>
  <c r="T22" i="12"/>
  <c r="U22" i="12" s="1"/>
  <c r="R24" i="12" l="1"/>
  <c r="T23" i="12"/>
  <c r="U23" i="12" s="1"/>
  <c r="R25" i="12" l="1"/>
  <c r="T24" i="12"/>
  <c r="U24" i="12" s="1"/>
  <c r="R26" i="12" l="1"/>
  <c r="T25" i="12"/>
  <c r="U25" i="12" s="1"/>
  <c r="R27" i="12" l="1"/>
  <c r="T26" i="12"/>
  <c r="U26" i="12" s="1"/>
  <c r="R28" i="12" l="1"/>
  <c r="T27" i="12"/>
  <c r="U27" i="12" s="1"/>
  <c r="R29" i="12" l="1"/>
  <c r="T28" i="12"/>
  <c r="U28" i="12" s="1"/>
  <c r="T29" i="12" l="1"/>
  <c r="U29" i="12" s="1"/>
  <c r="R30" i="12"/>
  <c r="R31" i="12" l="1"/>
  <c r="T30" i="12"/>
  <c r="U30" i="12" s="1"/>
  <c r="R32" i="12" l="1"/>
  <c r="T31" i="12"/>
  <c r="U31" i="12" s="1"/>
  <c r="R33" i="12" l="1"/>
  <c r="T32" i="12"/>
  <c r="U32" i="12" s="1"/>
  <c r="R34" i="12" l="1"/>
  <c r="T33" i="12"/>
  <c r="U33" i="12" s="1"/>
  <c r="T34" i="12" l="1"/>
  <c r="U34" i="12" s="1"/>
  <c r="R35" i="12"/>
  <c r="T35" i="12" l="1"/>
  <c r="U35" i="12" s="1"/>
  <c r="R36" i="12"/>
  <c r="T36" i="12" s="1"/>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<sst xmlns="http://schemas.openxmlformats.org/spreadsheetml/2006/main" count="440" uniqueCount="285">
  <si>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</si>
  <si>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</si>
  <si>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</si>
  <si>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</si>
  <si>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</si>
  <si>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</si>
  <si>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</si>
  <si>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</si>
  <si>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</si>
  <si>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</si>
  <si>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</si>
  <si>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</si>
  <si>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</si>
  <si>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</si>
  <si>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</si>
  <si>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</si>
  <si>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</si>
  <si>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</si>
  <si>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</si>
  <si>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</si>
  <si>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</si>
  <si>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</si>
  <si>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</si>
  <si>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</si>
  <si>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</si>
  <si>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</si>
  <si>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</si>
  <si>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</si>
  <si>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</si>
  <si>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</si>
  <si>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</si>
  <si>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</si>
  <si>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</si>
  <si>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</si>
  <si>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</si>
  <si>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</si>
  <si>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</si>
  <si>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</si>
  <si>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</si>
  <si>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</si>
  <si>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</si>
  <si>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</si>
  <si>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</si>
  <si>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</si>
  <si>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</si>
  <si>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</si>
  <si>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</si>
  <si>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</si>
  <si>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</si>
  <si>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</si>
  <si>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</si>
  <si>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</si>
  <si>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</si>
  <si>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</si>
  <si>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</si>
  <si>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</si>
  <si>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</si>
  <si>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</si>
  <si>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</si>
  <si>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</si>
  <si>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</si>
  <si>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</si>
  <si>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</si>
  <si>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</si>
  <si>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</si>
  <si>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</si>
  <si>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</si>
  <si>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</si>
  <si>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</si>
  <si>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</si>
  <si>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</si>
  <si>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</si>
  <si>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</si>
  <si>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</si>
  <si>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</si>
  <si>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</si>
  <si>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</si>
  <si>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</si>
  <si>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</si>
  <si>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</si>
  <si>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</si>
  <si>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</si>
  <si>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</si>
  <si>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</si>
  <si>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</si>
  <si>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</si>
  <si>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</si>
  <si>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</si>
  <si>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</si>
  <si>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</si>
  <si>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</si>
  <si>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</si>
  <si>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</si>
  <si>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</si>
  <si>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</si>
  <si>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</si>
  <si>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</si>
  <si>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</si>
  <si>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</si>
  <si>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</si>
  <si>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</si>
  <si>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</si>
  <si>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</si>
  <si>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</si>
  <si>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</si>
  <si>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</si>
  <si>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</si>
  <si>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</si>
  <si>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</si>
  <si>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</si>
  <si>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</si>
  <si>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</si>
  <si>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</si>
  <si>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</si>
  <si>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</si>
  <si>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</si>
  <si>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</si>
  <si>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</si>
  <si>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</si>
  <si>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</si>
  <si>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</si>
  <si>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</si>
  <si>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</si>
  <si>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</si>
  <si>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</si>
  <si>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</si>
  <si>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</si>
  <si>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</si>
  <si>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</si>
  <si>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</si>
  <si>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</si>
  <si>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</si>
  <si>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</si>
  <si>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</si>
  <si>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</si>
  <si>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</si>
  <si>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</si>
  <si>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</si>
  <si>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</si>
  <si>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</si>
  <si>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</si>
  <si>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</si>
  <si>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</si>
  <si>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</si>
  <si>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</si>
  <si>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</si>
  <si>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</si>
  <si>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</si>
  <si>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</si>
  <si>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</si>
  <si>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</si>
  <si>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</si>
  <si>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</si>
  <si>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</si>
  <si>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</si>
  <si>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</si>
  <si>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</si>
  <si>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</si>
  <si>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</si>
  <si>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</si>
  <si>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</si>
  <si>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</si>
  <si>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</si>
  <si>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</si>
  <si>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</si>
  <si>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</si>
  <si>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</si>
  <si>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</si>
  <si>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</si>
  <si>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</si>
  <si>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</si>
  <si>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</si>
  <si>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</si>
  <si>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</si>
  <si>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</si>
  <si>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</si>
  <si>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</si>
  <si>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</si>
  <si>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</si>
  <si>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</si>
  <si>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</si>
  <si>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</si>
  <si>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</si>
  <si>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</si>
  <si>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</si>
  <si>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</si>
  <si>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</si>
  <si>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</si>
  <si>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</si>
  <si>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</si>
  <si>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</si>
  <si>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</si>
  <si>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</si>
  <si>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</si>
  <si>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</si>
  <si>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</si>
  <si>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</si>
  <si>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</si>
  <si>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</si>
  <si>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</si>
  <si>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</si>
  <si>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</si>
  <si>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</si>
  <si>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</si>
  <si>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</si>
  <si>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</si>
  <si>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</si>
  <si>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</si>
  <si>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</si>
  <si>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</si>
  <si>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</si>
  <si>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</si>
  <si>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</si>
  <si>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</si>
  <si>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</si>
  <si>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</si>
  <si>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</si>
  <si>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</si>
  <si>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</si>
  <si>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</si>
  <si>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</si>
  <si>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</si>
  <si>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</si>
  <si>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</si>
  <si>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</si>
  <si>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</si>
  <si>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</si>
  <si>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</si>
  <si>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</si>
  <si>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</si>
  <si>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</si>
  <si>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</si>
  <si>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</si>
  <si>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</si>
  <si>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</si>
  <si>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</si>
  <si>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</si>
  <si>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</si>
  <si>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</si>
  <si>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</si>
  <si>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</si>
  <si>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</si>
  <si>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</si>
  <si>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</si>
  <si>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</si>
  <si>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</si>
  <si>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</si>
  <si>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</si>
  <si>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</si>
  <si>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</si>
  <si>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</si>
  <si>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</si>
  <si>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</si>
  <si>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</si>
  <si>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</si>
  <si>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</si>
  <si>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</si>
  <si>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</si>
  <si>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</si>
  <si>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</si>
  <si>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</si>
  <si>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</si>
  <si>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</si>
  <si>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</si>
  <si>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</si>
  <si>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</si>
  <si>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</si>
  <si>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</si>
  <si>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</si>
  <si>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</si>
  <si>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</si>
  <si>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</si>
  <si>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</si>
  <si>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</si>
  <si>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</si>
  <si>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</si>
  <si>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</si>
  <si>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</si>
  <si>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</si>
  <si>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</si>
  <si>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</si>
  <si>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Eagle Drive/FM 3360</t>
  </si>
  <si>
    <t>IH 10</t>
  </si>
  <si>
    <t>SH 146</t>
  </si>
  <si>
    <t>Traffic Management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</si>
</sst>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90">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0" fillId="2" borderId="1" xfId="0" applyFill="1" applyBorder="1" applyAlignment="1" applyProtection="1">
      <alignment horizontal="left"/>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7"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9" t="s">
        <v>34</v>
      </c>
      <c r="E6" s="180"/>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9" t="s">
        <v>34</v>
      </c>
      <c r="E6" s="180"/>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9" t="s">
        <v>35</v>
      </c>
      <c r="E8" s="180"/>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zoomScaleNormal="100" workbookViewId="0">
      <selection activeCell="F30" sqref="F30"/>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30" x14ac:dyDescent="0.25">
      <c r="B6" s="4" t="s">
        <v>166</v>
      </c>
      <c r="C6" s="120" t="s">
        <v>284</v>
      </c>
      <c r="D6" s="94"/>
    </row>
    <row r="7" spans="2:19" x14ac:dyDescent="0.25">
      <c r="B7" s="4" t="s">
        <v>117</v>
      </c>
      <c r="C7" s="121" t="s">
        <v>122</v>
      </c>
      <c r="D7" s="64"/>
      <c r="E7" s="4"/>
      <c r="F7" t="s">
        <v>257</v>
      </c>
    </row>
    <row r="8" spans="2:19" x14ac:dyDescent="0.25">
      <c r="B8" s="4" t="s">
        <v>126</v>
      </c>
      <c r="C8" s="121" t="s">
        <v>128</v>
      </c>
      <c r="D8" s="64"/>
      <c r="E8" s="86"/>
      <c r="F8" t="s">
        <v>263</v>
      </c>
    </row>
    <row r="9" spans="2:19" x14ac:dyDescent="0.25">
      <c r="B9" s="4" t="s">
        <v>167</v>
      </c>
      <c r="C9" s="121" t="s">
        <v>281</v>
      </c>
      <c r="D9" s="64"/>
      <c r="E9" s="122"/>
      <c r="F9" t="s">
        <v>268</v>
      </c>
    </row>
    <row r="10" spans="2:19" x14ac:dyDescent="0.25">
      <c r="B10" s="4" t="s">
        <v>114</v>
      </c>
      <c r="C10" s="178" t="s">
        <v>282</v>
      </c>
      <c r="D10" s="64"/>
      <c r="E10" s="9"/>
      <c r="F10" t="s">
        <v>258</v>
      </c>
    </row>
    <row r="11" spans="2:19" x14ac:dyDescent="0.25">
      <c r="B11" s="4" t="s">
        <v>115</v>
      </c>
      <c r="C11" s="178" t="s">
        <v>283</v>
      </c>
      <c r="D11" s="64"/>
    </row>
    <row r="12" spans="2:19" x14ac:dyDescent="0.25">
      <c r="B12" s="4" t="s">
        <v>116</v>
      </c>
      <c r="C12" s="178">
        <v>5</v>
      </c>
      <c r="D12" s="95"/>
      <c r="N12" s="181"/>
      <c r="O12" s="181"/>
      <c r="P12" s="181"/>
      <c r="Q12" s="181"/>
      <c r="R12" s="181"/>
      <c r="S12" s="181"/>
    </row>
    <row r="13" spans="2:19" x14ac:dyDescent="0.25">
      <c r="B13" s="4" t="s">
        <v>77</v>
      </c>
      <c r="C13" s="121"/>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2021</v>
      </c>
      <c r="D17" s="96"/>
    </row>
    <row r="18" spans="2:13" x14ac:dyDescent="0.25">
      <c r="B18" s="4" t="s">
        <v>259</v>
      </c>
      <c r="C18" s="120" t="s">
        <v>195</v>
      </c>
      <c r="D18" s="26"/>
    </row>
    <row r="19" spans="2:13" x14ac:dyDescent="0.25">
      <c r="B19" s="122" t="s">
        <v>251</v>
      </c>
      <c r="C19" s="174">
        <f>VLOOKUP(C18,'CRF Lookup Table'!C3:F84,2, FALSE)</f>
        <v>108</v>
      </c>
      <c r="D19" s="97"/>
    </row>
    <row r="20" spans="2:13" x14ac:dyDescent="0.25">
      <c r="B20" s="122" t="s">
        <v>102</v>
      </c>
      <c r="C20" s="175">
        <f>VLOOKUP(C18,'CRF Lookup Table'!C3:F84,3, FALSE)</f>
        <v>0.22</v>
      </c>
      <c r="D20" s="98"/>
      <c r="F20" s="68"/>
    </row>
    <row r="21" spans="2:13" x14ac:dyDescent="0.25">
      <c r="B21" s="122" t="s">
        <v>101</v>
      </c>
      <c r="C21" s="176">
        <f>VLOOKUP(C18,'CRF Lookup Table'!C3:F84,4, FALSE)</f>
        <v>10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23783</v>
      </c>
      <c r="D25" s="99"/>
      <c r="I25" s="49"/>
    </row>
    <row r="26" spans="2:13" x14ac:dyDescent="0.25">
      <c r="I26" s="49"/>
    </row>
    <row r="27" spans="2:13" x14ac:dyDescent="0.25">
      <c r="B27" s="86" t="s">
        <v>269</v>
      </c>
      <c r="C27" s="87">
        <v>12743</v>
      </c>
      <c r="D27" s="99"/>
      <c r="I27" s="49"/>
    </row>
    <row r="28" spans="2:13" x14ac:dyDescent="0.25">
      <c r="B28" s="86" t="s">
        <v>150</v>
      </c>
      <c r="C28" s="87">
        <v>19908</v>
      </c>
      <c r="D28" s="99"/>
      <c r="I28" s="49"/>
    </row>
    <row r="29" spans="2:13" x14ac:dyDescent="0.25">
      <c r="B29" s="86" t="s">
        <v>270</v>
      </c>
      <c r="C29" s="88">
        <v>6598</v>
      </c>
      <c r="D29" s="69"/>
      <c r="I29" s="49"/>
    </row>
    <row r="30" spans="2:13" x14ac:dyDescent="0.25">
      <c r="B30" s="86" t="s">
        <v>151</v>
      </c>
      <c r="C30" s="88">
        <v>19908</v>
      </c>
      <c r="D30" s="69"/>
      <c r="I30" s="49"/>
    </row>
    <row r="31" spans="2:13" x14ac:dyDescent="0.25">
      <c r="B31" s="86" t="s">
        <v>271</v>
      </c>
      <c r="C31" s="87">
        <v>14736</v>
      </c>
      <c r="D31" s="99"/>
      <c r="H31" s="70"/>
    </row>
    <row r="32" spans="2:13" x14ac:dyDescent="0.25">
      <c r="B32" s="86" t="s">
        <v>152</v>
      </c>
      <c r="C32" s="87">
        <v>19908</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16457.297768100761</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ColWidth="9.140625"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17937.234112529281</v>
      </c>
      <c r="G4" s="184" t="s">
        <v>260</v>
      </c>
      <c r="H4" s="184"/>
      <c r="I4" s="184"/>
      <c r="J4" s="184"/>
      <c r="L4" s="136"/>
      <c r="M4" s="137">
        <v>2018</v>
      </c>
      <c r="N4" s="138">
        <f>_2018_Volume_ADT</f>
        <v>23783</v>
      </c>
      <c r="O4" s="139" t="s">
        <v>85</v>
      </c>
      <c r="P4" s="140">
        <f>MIN(B12,1)</f>
        <v>0.64009443439823188</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10</v>
      </c>
      <c r="D5" s="134" t="s">
        <v>145</v>
      </c>
      <c r="E5" s="135">
        <f>$E$4*'Inputs &amp; Outputs'!$C$12</f>
        <v>89686.17056264641</v>
      </c>
      <c r="G5" s="185" t="s">
        <v>261</v>
      </c>
      <c r="H5" s="185"/>
      <c r="I5" s="185"/>
      <c r="J5" s="143">
        <f>SUMPRODUCT(Possible_Crash_Reductions,'Value of Statistical Life'!E5:E11)</f>
        <v>3290454.961805407</v>
      </c>
      <c r="L5" s="136"/>
      <c r="M5" s="144">
        <f t="shared" ref="M5:M36" si="1">M4+1</f>
        <v>2019</v>
      </c>
      <c r="N5" s="145">
        <f>N4+(N4*O5)</f>
        <v>21648.588368949426</v>
      </c>
      <c r="O5" s="146">
        <f t="shared" ref="O5:O11" si="2">IF(ISERROR(_2025_2045_Demand_Growth),_2018_2045_Demand_Growth,_2018_2025_Demand_Growth)</f>
        <v>-8.9745264729032326E-2</v>
      </c>
      <c r="P5" s="147">
        <f t="shared" ref="P5:P11" si="3">P4*(1+IFERROR(_2018_2025_V_C_Growth,_2018_2045_V_C_Growth))</f>
        <v>0.58264898993158232</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23318404.346288066</v>
      </c>
      <c r="L6" s="136"/>
      <c r="M6" s="137">
        <f t="shared" si="1"/>
        <v>2020</v>
      </c>
      <c r="N6" s="145">
        <f t="shared" ref="N6:N36" si="6">N5+(N5*O6)</f>
        <v>19705.730074768209</v>
      </c>
      <c r="O6" s="146">
        <f t="shared" si="2"/>
        <v>-8.9745264729032326E-2</v>
      </c>
      <c r="P6" s="147">
        <f t="shared" si="3"/>
        <v>0.53035900208606912</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17937.234112529281</v>
      </c>
      <c r="O7" s="146">
        <f t="shared" si="2"/>
        <v>-8.9745264729032326E-2</v>
      </c>
      <c r="P7" s="147">
        <f t="shared" si="3"/>
        <v>0.48276179304242944</v>
      </c>
      <c r="Q7" s="148">
        <f t="shared" si="4"/>
        <v>1</v>
      </c>
      <c r="R7" s="37">
        <f>IF(M7=Year_Open_to_Traffic?,Calculations!$J$5,Calculations!R6+(Calculations!R6*Calculations!O7*Q7))</f>
        <v>3290454.961805407</v>
      </c>
      <c r="S7" s="54">
        <f t="shared" si="0"/>
        <v>1</v>
      </c>
      <c r="T7" s="37">
        <f t="shared" si="5"/>
        <v>3290.454961805407</v>
      </c>
      <c r="U7" s="142">
        <f>T7/(1+Real_Discount_Rate)^(Calculations!M7-'Assumed Values'!$C$5)</f>
        <v>2685.9913993267232</v>
      </c>
    </row>
    <row r="8" spans="1:21" ht="15.75" x14ac:dyDescent="0.25">
      <c r="A8" s="149" t="s">
        <v>15</v>
      </c>
      <c r="B8" s="125"/>
      <c r="D8" s="150" t="s">
        <v>143</v>
      </c>
      <c r="E8" s="151"/>
      <c r="L8" s="136"/>
      <c r="M8" s="137">
        <f t="shared" si="1"/>
        <v>2022</v>
      </c>
      <c r="N8" s="145">
        <f t="shared" si="6"/>
        <v>16327.452288593711</v>
      </c>
      <c r="O8" s="146">
        <f t="shared" si="2"/>
        <v>-8.9745264729032326E-2</v>
      </c>
      <c r="P8" s="147">
        <f t="shared" si="3"/>
        <v>0.4394362081247743</v>
      </c>
      <c r="Q8" s="148">
        <f t="shared" si="4"/>
        <v>1</v>
      </c>
      <c r="R8" s="37">
        <f>IF(M8=Year_Open_to_Traffic?,Calculations!$J$5,Calculations!R7+(Calculations!R7*Calculations!O8*Q8))</f>
        <v>2995152.2101792227</v>
      </c>
      <c r="S8" s="54">
        <f t="shared" si="0"/>
        <v>1</v>
      </c>
      <c r="T8" s="37">
        <f t="shared" si="5"/>
        <v>2995.1522101792229</v>
      </c>
      <c r="U8" s="142">
        <f>T8/(1+Real_Discount_Rate)^(Calculations!M8-'Assumed Values'!$C$5)</f>
        <v>2284.987280499292</v>
      </c>
    </row>
    <row r="9" spans="1:21" ht="15.75" x14ac:dyDescent="0.25">
      <c r="A9" s="152" t="s">
        <v>76</v>
      </c>
      <c r="B9" s="153">
        <f>(_2025_Peak_Period_Volume/'Inputs &amp; Outputs'!$C$27)^(1/(2025-2018))-1</f>
        <v>-8.9745264729032326E-2</v>
      </c>
      <c r="D9" s="152" t="s">
        <v>137</v>
      </c>
      <c r="E9" s="154">
        <f>IF('Inputs &amp; Outputs'!$C$8='CRASH RATES'!$D$3, VLOOKUP('Inputs &amp; Outputs'!$C$7,'CRASH RATES'!$C$14:$J$21,3,FALSE), VLOOKUP('Inputs &amp; Outputs'!$C$7,'CRASH RATES'!$C$28:$J$35,3,FALSE))</f>
        <v>2.8832323701282432</v>
      </c>
      <c r="F9" s="155"/>
      <c r="L9" s="136"/>
      <c r="M9" s="144">
        <f t="shared" si="1"/>
        <v>2023</v>
      </c>
      <c r="N9" s="145">
        <f t="shared" si="6"/>
        <v>14862.140760603224</v>
      </c>
      <c r="O9" s="146">
        <f t="shared" si="2"/>
        <v>-8.9745264729032326E-2</v>
      </c>
      <c r="P9" s="147">
        <f t="shared" si="3"/>
        <v>0.39999888929509431</v>
      </c>
      <c r="Q9" s="148">
        <f t="shared" si="4"/>
        <v>1</v>
      </c>
      <c r="R9" s="37">
        <f>IF(M9=Year_Open_to_Traffic?,Calculations!$J$5,Calculations!R8+(Calculations!R8*Calculations!O9*Q9))</f>
        <v>2726351.4821729423</v>
      </c>
      <c r="S9" s="54">
        <f t="shared" si="0"/>
        <v>1</v>
      </c>
      <c r="T9" s="37">
        <f t="shared" si="5"/>
        <v>2726.3514821729423</v>
      </c>
      <c r="U9" s="142">
        <f>T9/(1+Real_Discount_Rate)^(Calculations!M9-'Assumed Values'!$C$5)</f>
        <v>1943.8509272041226</v>
      </c>
    </row>
    <row r="10" spans="1:21" ht="15.75" x14ac:dyDescent="0.25">
      <c r="A10" s="152" t="s">
        <v>106</v>
      </c>
      <c r="B10" s="153">
        <f>(_2045_Peak_Period_Volume/_2025_Peak_Period_Volume)^(1/(2045-2025))-1</f>
        <v>4.0994332501726349E-2</v>
      </c>
      <c r="D10" s="152" t="s">
        <v>138</v>
      </c>
      <c r="E10" s="154">
        <f>IF('Inputs &amp; Outputs'!$C$8='CRASH RATES'!$D$3, VLOOKUP('Inputs &amp; Outputs'!$C$7,'CRASH RATES'!$C$14:$J$21,4,FALSE), VLOOKUP('Inputs &amp; Outputs'!$C$7,'CRASH RATES'!$C$28:$J$35,4,FALSE))</f>
        <v>27.184762346923439</v>
      </c>
      <c r="F10" s="155"/>
      <c r="L10" s="136"/>
      <c r="M10" s="137">
        <f t="shared" si="1"/>
        <v>2024</v>
      </c>
      <c r="N10" s="145">
        <f t="shared" si="6"/>
        <v>13528.334003602746</v>
      </c>
      <c r="O10" s="146">
        <f t="shared" si="2"/>
        <v>-8.9745264729032326E-2</v>
      </c>
      <c r="P10" s="147">
        <f t="shared" si="3"/>
        <v>0.36410088308398719</v>
      </c>
      <c r="Q10" s="148">
        <f t="shared" si="4"/>
        <v>1</v>
      </c>
      <c r="R10" s="37">
        <f>IF(M10=Year_Open_to_Traffic?,Calculations!$J$5,Calculations!R9+(Calculations!R9*Calculations!O10*Q10))</f>
        <v>2481674.3466609418</v>
      </c>
      <c r="S10" s="54">
        <f t="shared" si="0"/>
        <v>1</v>
      </c>
      <c r="T10" s="37">
        <f t="shared" si="5"/>
        <v>2481.6743466609419</v>
      </c>
      <c r="U10" s="142">
        <f>T10/(1+Real_Discount_Rate)^(Calculations!M10-'Assumed Values'!$C$5)</f>
        <v>1653.6444029424429</v>
      </c>
    </row>
    <row r="11" spans="1:21" ht="15.75" x14ac:dyDescent="0.25">
      <c r="A11" s="152" t="s">
        <v>107</v>
      </c>
      <c r="B11" s="153">
        <f>(_2045_Peak_Period_Volume/'Inputs &amp; Outputs'!$C$27)^(1/(2045-2018))-1</f>
        <v>5.3964113547944059E-3</v>
      </c>
      <c r="D11" s="152" t="s">
        <v>139</v>
      </c>
      <c r="E11" s="154">
        <f>IF('Inputs &amp; Outputs'!$C$8='CRASH RATES'!$D$3, VLOOKUP('Inputs &amp; Outputs'!$C$7,'CRASH RATES'!$C$14:$J$21,5,FALSE), VLOOKUP('Inputs &amp; Outputs'!$C$7,'CRASH RATES'!$C$28:$J$35,5,FALSE))</f>
        <v>68.373796205898344</v>
      </c>
      <c r="F11" s="155"/>
      <c r="L11" s="136"/>
      <c r="M11" s="144">
        <f t="shared" si="1"/>
        <v>2025</v>
      </c>
      <c r="N11" s="145">
        <f t="shared" si="6"/>
        <v>12314.230087106647</v>
      </c>
      <c r="O11" s="146">
        <f t="shared" si="2"/>
        <v>-8.9745264729032326E-2</v>
      </c>
      <c r="P11" s="147">
        <f t="shared" si="3"/>
        <v>0.33142455294354034</v>
      </c>
      <c r="Q11" s="148">
        <f t="shared" si="4"/>
        <v>1</v>
      </c>
      <c r="R11" s="37">
        <f>IF(M11=Year_Open_to_Traffic?,Calculations!$J$5,Calculations!R10+(Calculations!R10*Calculations!O11*Q11))</f>
        <v>2258955.8254486071</v>
      </c>
      <c r="S11" s="54">
        <f t="shared" si="0"/>
        <v>1</v>
      </c>
      <c r="T11" s="37">
        <f t="shared" si="5"/>
        <v>2258.9558254486069</v>
      </c>
      <c r="U11" s="142">
        <f>T11/(1+Real_Discount_Rate)^(Calculations!M11-'Assumed Values'!$C$5)</f>
        <v>1406.7641572268135</v>
      </c>
    </row>
    <row r="12" spans="1:21" ht="15.75" x14ac:dyDescent="0.25">
      <c r="A12" s="152" t="s">
        <v>75</v>
      </c>
      <c r="B12" s="156">
        <f>'Inputs &amp; Outputs'!C27/_2018_Peak_Period_Capacity</f>
        <v>0.64009443439823188</v>
      </c>
      <c r="D12" s="152" t="s">
        <v>140</v>
      </c>
      <c r="E12" s="154">
        <f>IF('Inputs &amp; Outputs'!$C$8='CRASH RATES'!$D$3, VLOOKUP('Inputs &amp; Outputs'!$C$7,'CRASH RATES'!$C$14:$J$21,6,FALSE), VLOOKUP('Inputs &amp; Outputs'!$C$7,'CRASH RATES'!$C$28:$J$35,6,FALSE))</f>
        <v>63.019221804231606</v>
      </c>
      <c r="F12" s="155"/>
      <c r="L12" s="136"/>
      <c r="M12" s="137">
        <f t="shared" si="1"/>
        <v>2026</v>
      </c>
      <c r="N12" s="145">
        <f t="shared" si="6"/>
        <v>12819.04372980026</v>
      </c>
      <c r="O12" s="146">
        <f t="shared" ref="O12:O36" si="7">IFERROR(_2025_2045_Demand_Growth,_2018_2045_Demand_Growth)</f>
        <v>4.0994332501726349E-2</v>
      </c>
      <c r="P12" s="147">
        <f t="shared" ref="P12:P36" si="8">P11*(1+IFERROR(_2025_2040_V_C_Growth,_2018_2045_V_C_Growth))</f>
        <v>0.34501108126614383</v>
      </c>
      <c r="Q12" s="148">
        <f t="shared" si="4"/>
        <v>1</v>
      </c>
      <c r="R12" s="37">
        <f>IF(M12=Year_Open_to_Traffic?,Calculations!$J$5,Calculations!R11+(Calculations!R11*Calculations!O12*Q12))</f>
        <v>2351560.2116637588</v>
      </c>
      <c r="S12" s="54">
        <f t="shared" si="0"/>
        <v>1</v>
      </c>
      <c r="T12" s="37">
        <f t="shared" si="5"/>
        <v>2351.5602116637588</v>
      </c>
      <c r="U12" s="142">
        <f>T12/(1+Real_Discount_Rate)^(Calculations!M12-'Assumed Values'!$C$5)</f>
        <v>1368.6294531211965</v>
      </c>
    </row>
    <row r="13" spans="1:21" ht="15.75" x14ac:dyDescent="0.25">
      <c r="A13" s="152" t="s">
        <v>74</v>
      </c>
      <c r="B13" s="156">
        <f>_2025_Peak_Period_Volume/_2025_Peak_Period_Capacity</f>
        <v>0.33142455294354028</v>
      </c>
      <c r="D13" s="152" t="s">
        <v>141</v>
      </c>
      <c r="E13" s="154">
        <f>IF('Inputs &amp; Outputs'!$C$8='CRASH RATES'!$D$3, VLOOKUP('Inputs &amp; Outputs'!$C$7,'CRASH RATES'!$C$14:$J$21,7,FALSE), VLOOKUP('Inputs &amp; Outputs'!$C$7,'CRASH RATES'!$C$28:$J$35,7,FALSE))</f>
        <v>906.57063523603767</v>
      </c>
      <c r="F13" s="155"/>
      <c r="L13" s="136"/>
      <c r="M13" s="144">
        <f t="shared" si="1"/>
        <v>2027</v>
      </c>
      <c r="N13" s="145">
        <f t="shared" si="6"/>
        <v>13344.551870813862</v>
      </c>
      <c r="O13" s="146">
        <f t="shared" si="7"/>
        <v>4.0994332501726349E-2</v>
      </c>
      <c r="P13" s="147">
        <f t="shared" si="8"/>
        <v>0.35915458024834823</v>
      </c>
      <c r="Q13" s="148">
        <f t="shared" si="4"/>
        <v>1</v>
      </c>
      <c r="R13" s="37">
        <f>IF(M13=Year_Open_to_Traffic?,Calculations!$J$5,Calculations!R12+(Calculations!R12*Calculations!O13*Q13))</f>
        <v>2447960.8528785328</v>
      </c>
      <c r="S13" s="54">
        <f t="shared" si="0"/>
        <v>1</v>
      </c>
      <c r="T13" s="37">
        <f t="shared" si="5"/>
        <v>2447.9608528785329</v>
      </c>
      <c r="U13" s="142">
        <f>T13/(1+Real_Discount_Rate)^(Calculations!M13-'Assumed Values'!$C$5)</f>
        <v>1331.5285084057034</v>
      </c>
    </row>
    <row r="14" spans="1:21" ht="15.75" x14ac:dyDescent="0.25">
      <c r="A14" s="152" t="s">
        <v>148</v>
      </c>
      <c r="B14" s="156">
        <f>_2045_Peak_Period_Volume/_2045_Peak_Period_Capacity</f>
        <v>0.74020494273658832</v>
      </c>
      <c r="D14" s="152" t="s">
        <v>142</v>
      </c>
      <c r="E14" s="154">
        <f>IF('Inputs &amp; Outputs'!$C$8='CRASH RATES'!$D$3, VLOOKUP('Inputs &amp; Outputs'!$C$7,'CRASH RATES'!$C$14:$J$21,8,FALSE), VLOOKUP('Inputs &amp; Outputs'!$C$7,'CRASH RATES'!$C$28:$J$35,8,FALSE))</f>
        <v>35.422569118718414</v>
      </c>
      <c r="F14" s="155"/>
      <c r="L14" s="136"/>
      <c r="M14" s="137">
        <f>M13+1</f>
        <v>2028</v>
      </c>
      <c r="N14" s="145">
        <f t="shared" si="6"/>
        <v>13891.60286729254</v>
      </c>
      <c r="O14" s="146">
        <f t="shared" si="7"/>
        <v>4.0994332501726349E-2</v>
      </c>
      <c r="P14" s="147">
        <f>P13*(1+IFERROR(_2025_2040_V_C_Growth,_2018_2045_V_C_Growth))</f>
        <v>0.37387788253056697</v>
      </c>
      <c r="Q14" s="148">
        <f t="shared" si="4"/>
        <v>1</v>
      </c>
      <c r="R14" s="37">
        <f>IF(M14=Year_Open_to_Traffic?,Calculations!$J$5,Calculations!R13+(Calculations!R13*Calculations!O14*Q14))</f>
        <v>2548313.374032645</v>
      </c>
      <c r="S14" s="54">
        <f t="shared" si="0"/>
        <v>1</v>
      </c>
      <c r="T14" s="37">
        <f t="shared" si="5"/>
        <v>2548.3133740326452</v>
      </c>
      <c r="U14" s="142">
        <f>T14/(1+Real_Discount_Rate)^(Calculations!M14-'Assumed Values'!$C$5)</f>
        <v>1295.4332998269297</v>
      </c>
    </row>
    <row r="15" spans="1:21" ht="15.75" x14ac:dyDescent="0.25">
      <c r="A15" s="152" t="s">
        <v>80</v>
      </c>
      <c r="B15" s="153">
        <f>(B13/B12)^(1/(2025-2018))-1</f>
        <v>-8.9745264729032326E-2</v>
      </c>
      <c r="L15" s="136"/>
      <c r="M15" s="144">
        <f>M14+1</f>
        <v>2029</v>
      </c>
      <c r="N15" s="145">
        <f t="shared" si="6"/>
        <v>14461.079854216267</v>
      </c>
      <c r="O15" s="146">
        <f t="shared" si="7"/>
        <v>4.0994332501726349E-2</v>
      </c>
      <c r="P15" s="147">
        <f>P14*(1+IFERROR(_2025_2040_V_C_Growth,_2018_2045_V_C_Growth))</f>
        <v>0.3892047567620664</v>
      </c>
      <c r="Q15" s="148">
        <f t="shared" si="4"/>
        <v>1</v>
      </c>
      <c r="R15" s="37">
        <f>IF(M15=Year_Open_to_Traffic?,Calculations!$J$5,Calculations!R14+(Calculations!R14*Calculations!O15*Q15))</f>
        <v>2652779.7798063355</v>
      </c>
      <c r="S15" s="54">
        <f t="shared" si="0"/>
        <v>1</v>
      </c>
      <c r="T15" s="37">
        <f t="shared" si="5"/>
        <v>2652.7797798063357</v>
      </c>
      <c r="U15" s="142">
        <f>T15/(1+Real_Discount_Rate)^(Calculations!M15-'Assumed Values'!$C$5)</f>
        <v>1260.3165637886384</v>
      </c>
    </row>
    <row r="16" spans="1:21" ht="15.75" x14ac:dyDescent="0.25">
      <c r="A16" s="152" t="s">
        <v>108</v>
      </c>
      <c r="B16" s="153">
        <f>(B14/B13)^(1/(2045-2025))-1</f>
        <v>4.0994332501726349E-2</v>
      </c>
      <c r="D16" s="157" t="s">
        <v>136</v>
      </c>
      <c r="E16" s="151"/>
      <c r="L16" s="136"/>
      <c r="M16" s="137">
        <f t="shared" si="1"/>
        <v>2030</v>
      </c>
      <c r="N16" s="145">
        <f t="shared" si="6"/>
        <v>15053.902170094025</v>
      </c>
      <c r="O16" s="146">
        <f t="shared" si="7"/>
        <v>4.0994332501726349E-2</v>
      </c>
      <c r="P16" s="147">
        <f t="shared" si="8"/>
        <v>0.40515994597202409</v>
      </c>
      <c r="Q16" s="148">
        <f t="shared" si="4"/>
        <v>1</v>
      </c>
      <c r="R16" s="37">
        <f>IF(M16=Year_Open_to_Traffic?,Calculations!$J$5,Calculations!R15+(Calculations!R15*Calculations!O16*Q16))</f>
        <v>2761528.7161535728</v>
      </c>
      <c r="S16" s="54">
        <f t="shared" si="0"/>
        <v>1</v>
      </c>
      <c r="T16" s="37">
        <f t="shared" si="5"/>
        <v>2761.528716153573</v>
      </c>
      <c r="U16" s="142">
        <f>T16/(1+Real_Discount_Rate)^(Calculations!M16-'Assumed Values'!$C$5)</f>
        <v>1226.1517757589004</v>
      </c>
    </row>
    <row r="17" spans="1:21" ht="15.75" x14ac:dyDescent="0.25">
      <c r="A17" s="152" t="s">
        <v>109</v>
      </c>
      <c r="B17" s="153">
        <f>(B14/B12)^(1/(2045-2018))-1</f>
        <v>5.3964113547944059E-3</v>
      </c>
      <c r="D17" s="152" t="s">
        <v>89</v>
      </c>
      <c r="E17" s="158">
        <f>($E$6*Death_Rate)/100000000</f>
        <v>0.67232378230956868</v>
      </c>
      <c r="L17" s="136"/>
      <c r="M17" s="144">
        <f t="shared" si="1"/>
        <v>2031</v>
      </c>
      <c r="N17" s="145">
        <f t="shared" si="6"/>
        <v>15671.026841103319</v>
      </c>
      <c r="O17" s="146">
        <f t="shared" si="7"/>
        <v>4.0994332501726349E-2</v>
      </c>
      <c r="P17" s="147">
        <f t="shared" si="8"/>
        <v>0.42176920751358271</v>
      </c>
      <c r="Q17" s="148">
        <f t="shared" si="4"/>
        <v>1</v>
      </c>
      <c r="R17" s="37">
        <f>IF(M17=Year_Open_to_Traffic?,Calculations!$J$5,Calculations!R16+(Calculations!R16*Calculations!O17*Q17))</f>
        <v>2874735.7425566376</v>
      </c>
      <c r="S17" s="54">
        <f t="shared" si="0"/>
        <v>0</v>
      </c>
      <c r="T17" s="37">
        <f t="shared" si="5"/>
        <v>0</v>
      </c>
      <c r="U17" s="142">
        <f>T17/(1+Real_Discount_Rate)^(Calculations!M17-'Assumed Values'!$C$5)</f>
        <v>0</v>
      </c>
    </row>
    <row r="18" spans="1:21" ht="15.75" x14ac:dyDescent="0.25">
      <c r="D18" s="152" t="s">
        <v>94</v>
      </c>
      <c r="E18" s="158">
        <f>($E$6*Incap_Injry_Rate)/100000000</f>
        <v>6.3390528046330772</v>
      </c>
      <c r="L18" s="136"/>
      <c r="M18" s="137">
        <f t="shared" si="1"/>
        <v>2032</v>
      </c>
      <c r="N18" s="145">
        <f t="shared" si="6"/>
        <v>16313.450126070988</v>
      </c>
      <c r="O18" s="146">
        <f t="shared" si="7"/>
        <v>4.0994332501726349E-2</v>
      </c>
      <c r="P18" s="147">
        <f t="shared" si="8"/>
        <v>0.43905935464538415</v>
      </c>
      <c r="Q18" s="148">
        <f t="shared" si="4"/>
        <v>1</v>
      </c>
      <c r="R18" s="37">
        <f>IF(M18=Year_Open_to_Traffic?,Calculations!$J$5,Calculations!R17+(Calculations!R17*Calculations!O18*Q18))</f>
        <v>2992583.6154416017</v>
      </c>
      <c r="S18" s="54">
        <f t="shared" si="0"/>
        <v>0</v>
      </c>
      <c r="T18" s="37">
        <f t="shared" si="5"/>
        <v>0</v>
      </c>
      <c r="U18" s="142">
        <f>T18/(1+Real_Discount_Rate)^(Calculations!M18-'Assumed Values'!$C$5)</f>
        <v>0</v>
      </c>
    </row>
    <row r="19" spans="1:21" ht="15.75" x14ac:dyDescent="0.25">
      <c r="D19" s="152" t="s">
        <v>93</v>
      </c>
      <c r="E19" s="158">
        <f>($E$6*Nonincap_Injry_Rate)/100000000</f>
        <v>15.943678266198344</v>
      </c>
      <c r="L19" s="136"/>
      <c r="M19" s="144">
        <f t="shared" si="1"/>
        <v>2033</v>
      </c>
      <c r="N19" s="145">
        <f t="shared" si="6"/>
        <v>16982.209124789471</v>
      </c>
      <c r="O19" s="146">
        <f t="shared" si="7"/>
        <v>4.0994332501726349E-2</v>
      </c>
      <c r="P19" s="147">
        <f t="shared" si="8"/>
        <v>0.4570582998177104</v>
      </c>
      <c r="Q19" s="148">
        <f t="shared" si="4"/>
        <v>1</v>
      </c>
      <c r="R19" s="37">
        <f>IF(M19=Year_Open_to_Traffic?,Calculations!$J$5,Calculations!R18+(Calculations!R18*Calculations!O19*Q19))</f>
        <v>3115262.5832122331</v>
      </c>
      <c r="S19" s="54">
        <f t="shared" si="0"/>
        <v>0</v>
      </c>
      <c r="T19" s="37">
        <f t="shared" si="5"/>
        <v>0</v>
      </c>
      <c r="U19" s="142">
        <f>T19/(1+Real_Discount_Rate)^(Calculations!M19-'Assumed Values'!$C$5)</f>
        <v>0</v>
      </c>
    </row>
    <row r="20" spans="1:21" ht="15.75" x14ac:dyDescent="0.25">
      <c r="D20" s="152" t="s">
        <v>92</v>
      </c>
      <c r="E20" s="158">
        <f>($E$6*Poss_Injry_Rate/100000000)</f>
        <v>14.695076956194859</v>
      </c>
      <c r="L20" s="136"/>
      <c r="M20" s="137">
        <f t="shared" si="1"/>
        <v>2034</v>
      </c>
      <c r="N20" s="145">
        <f t="shared" si="6"/>
        <v>17678.383452264941</v>
      </c>
      <c r="O20" s="146">
        <f t="shared" si="7"/>
        <v>4.0994332501726349E-2</v>
      </c>
      <c r="P20" s="147">
        <f t="shared" si="8"/>
        <v>0.47579509973311135</v>
      </c>
      <c r="Q20" s="148">
        <f t="shared" si="4"/>
        <v>1</v>
      </c>
      <c r="R20" s="37">
        <f>IF(M20=Year_Open_to_Traffic?,Calculations!$J$5,Calculations!R19+(Calculations!R19*Calculations!O20*Q20))</f>
        <v>3242970.6933786222</v>
      </c>
      <c r="S20" s="54">
        <f t="shared" si="0"/>
        <v>0</v>
      </c>
      <c r="T20" s="37">
        <f t="shared" si="5"/>
        <v>0</v>
      </c>
      <c r="U20" s="142">
        <f>T20/(1+Real_Discount_Rate)^(Calculations!M20-'Assumed Values'!$C$5)</f>
        <v>0</v>
      </c>
    </row>
    <row r="21" spans="1:21" ht="15.75" x14ac:dyDescent="0.25">
      <c r="D21" s="152" t="s">
        <v>91</v>
      </c>
      <c r="E21" s="158">
        <f>($E$6*Non_Injry_Rate)/100000000</f>
        <v>211.39780640905155</v>
      </c>
      <c r="L21" s="136"/>
      <c r="M21" s="144">
        <f>M20+1</f>
        <v>2035</v>
      </c>
      <c r="N21" s="145">
        <f t="shared" si="6"/>
        <v>18403.096981600109</v>
      </c>
      <c r="O21" s="146">
        <f t="shared" si="7"/>
        <v>4.0994332501726349E-2</v>
      </c>
      <c r="P21" s="147">
        <f>P20*(1+IFERROR(_2025_2040_V_C_Growth,_2018_2045_V_C_Growth))</f>
        <v>0.49530000225426257</v>
      </c>
      <c r="Q21" s="148">
        <f t="shared" si="4"/>
        <v>1</v>
      </c>
      <c r="R21" s="37">
        <f>IF(M21=Year_Open_to_Traffic?,Calculations!$J$5,Calculations!R20+(Calculations!R20*Calculations!O21*Q21))</f>
        <v>3375914.1122763394</v>
      </c>
      <c r="S21" s="54">
        <f t="shared" si="0"/>
        <v>0</v>
      </c>
      <c r="T21" s="37">
        <f t="shared" si="5"/>
        <v>0</v>
      </c>
      <c r="U21" s="142">
        <f>T21/(1+Real_Discount_Rate)^(Calculations!M21-'Assumed Values'!$C$5)</f>
        <v>0</v>
      </c>
    </row>
    <row r="22" spans="1:21" ht="15.75" x14ac:dyDescent="0.25">
      <c r="D22" s="152" t="s">
        <v>90</v>
      </c>
      <c r="E22" s="158">
        <f>($E$6*Unkn_Injry_Rate)/100000000</f>
        <v>8.2599778969461291</v>
      </c>
      <c r="L22" s="136"/>
      <c r="M22" s="137">
        <f>M21+1</f>
        <v>2036</v>
      </c>
      <c r="N22" s="145">
        <f t="shared" si="6"/>
        <v>19157.519658325342</v>
      </c>
      <c r="O22" s="146">
        <f t="shared" si="7"/>
        <v>4.0994332501726349E-2</v>
      </c>
      <c r="P22" s="147">
        <f t="shared" si="8"/>
        <v>0.51560449523477958</v>
      </c>
      <c r="Q22" s="148">
        <f t="shared" si="4"/>
        <v>1</v>
      </c>
      <c r="R22" s="37">
        <f>IF(M22=Year_Open_to_Traffic?,Calculations!$J$5,Calculations!R21+(Calculations!R21*Calculations!O22*Q22))</f>
        <v>3514307.4578922661</v>
      </c>
      <c r="S22" s="54">
        <f t="shared" si="0"/>
        <v>0</v>
      </c>
      <c r="T22" s="37">
        <f t="shared" si="5"/>
        <v>0</v>
      </c>
      <c r="U22" s="142">
        <f>T22/(1+Real_Discount_Rate)^(Calculations!M22-'Assumed Values'!$C$5)</f>
        <v>0</v>
      </c>
    </row>
    <row r="23" spans="1:21" ht="15.75" x14ac:dyDescent="0.25">
      <c r="L23" s="136"/>
      <c r="M23" s="144">
        <f t="shared" si="1"/>
        <v>2037</v>
      </c>
      <c r="N23" s="145">
        <f t="shared" si="6"/>
        <v>19942.869389107091</v>
      </c>
      <c r="O23" s="146">
        <f t="shared" si="7"/>
        <v>4.0994332501726349E-2</v>
      </c>
      <c r="P23" s="147">
        <f t="shared" si="8"/>
        <v>0.53674135735181894</v>
      </c>
      <c r="Q23" s="148">
        <f t="shared" si="4"/>
        <v>1</v>
      </c>
      <c r="R23" s="37">
        <f>IF(M23=Year_Open_to_Traffic?,Calculations!$J$5,Calculations!R22+(Calculations!R22*Calculations!O23*Q23))</f>
        <v>3658374.1463343985</v>
      </c>
      <c r="S23" s="54">
        <f t="shared" si="0"/>
        <v>0</v>
      </c>
      <c r="T23" s="37">
        <f t="shared" si="5"/>
        <v>0</v>
      </c>
      <c r="U23" s="142">
        <f>T23/(1+Real_Discount_Rate)^(Calculations!M23-'Assumed Values'!$C$5)</f>
        <v>0</v>
      </c>
    </row>
    <row r="24" spans="1:21" ht="15.75" x14ac:dyDescent="0.25">
      <c r="L24" s="136"/>
      <c r="M24" s="137">
        <f t="shared" si="1"/>
        <v>2038</v>
      </c>
      <c r="N24" s="145">
        <f t="shared" si="6"/>
        <v>20760.414007882646</v>
      </c>
      <c r="O24" s="146">
        <f t="shared" si="7"/>
        <v>4.0994332501726349E-2</v>
      </c>
      <c r="P24" s="147">
        <f t="shared" si="8"/>
        <v>0.55874471102252732</v>
      </c>
      <c r="Q24" s="148">
        <f t="shared" si="4"/>
        <v>1</v>
      </c>
      <c r="R24" s="37">
        <f>IF(M24=Year_Open_to_Traffic?,Calculations!$J$5,Calculations!R23+(Calculations!R23*Calculations!O24*Q24))</f>
        <v>3808346.7525049504</v>
      </c>
      <c r="S24" s="54">
        <f t="shared" si="0"/>
        <v>0</v>
      </c>
      <c r="T24" s="37">
        <f t="shared" si="5"/>
        <v>0</v>
      </c>
      <c r="U24" s="142">
        <f>T24/(1+Real_Discount_Rate)^(Calculations!M24-'Assumed Values'!$C$5)</f>
        <v>0</v>
      </c>
    </row>
    <row r="25" spans="1:21" ht="15.75" x14ac:dyDescent="0.25">
      <c r="A25" s="182" t="s">
        <v>99</v>
      </c>
      <c r="B25" s="182"/>
      <c r="D25" s="159" t="s">
        <v>89</v>
      </c>
      <c r="E25" s="159" t="s">
        <v>94</v>
      </c>
      <c r="F25" s="159" t="s">
        <v>93</v>
      </c>
      <c r="G25" s="159" t="s">
        <v>92</v>
      </c>
      <c r="H25" s="159" t="s">
        <v>91</v>
      </c>
      <c r="I25" s="159" t="s">
        <v>90</v>
      </c>
      <c r="J25" s="183" t="s">
        <v>100</v>
      </c>
      <c r="L25" s="136"/>
      <c r="M25" s="144">
        <f t="shared" si="1"/>
        <v>2039</v>
      </c>
      <c r="N25" s="145">
        <f t="shared" si="6"/>
        <v>21611.473322595284</v>
      </c>
      <c r="O25" s="146">
        <f t="shared" si="7"/>
        <v>4.0994332501726349E-2</v>
      </c>
      <c r="P25" s="147">
        <f t="shared" si="8"/>
        <v>0.58165007748976583</v>
      </c>
      <c r="Q25" s="148">
        <f t="shared" si="4"/>
        <v>1</v>
      </c>
      <c r="R25" s="37">
        <f>IF(M25=Year_Open_to_Traffic?,Calculations!$J$5,Calculations!R24+(Calculations!R24*Calculations!O25*Q25))</f>
        <v>3964467.385559008</v>
      </c>
      <c r="S25" s="54">
        <f t="shared" si="0"/>
        <v>0</v>
      </c>
      <c r="T25" s="37">
        <f t="shared" si="5"/>
        <v>0</v>
      </c>
      <c r="U25" s="142">
        <f>T25/(1+Real_Discount_Rate)^(Calculations!M25-'Assumed Values'!$C$5)</f>
        <v>0</v>
      </c>
    </row>
    <row r="26" spans="1:21" ht="15.75" x14ac:dyDescent="0.25">
      <c r="A26" s="182"/>
      <c r="B26" s="182"/>
      <c r="D26" s="160">
        <f>Calculations!E17</f>
        <v>0.67232378230956868</v>
      </c>
      <c r="E26" s="160">
        <f>Calculations!E18</f>
        <v>6.3390528046330772</v>
      </c>
      <c r="F26" s="160">
        <f>Calculations!E19</f>
        <v>15.943678266198344</v>
      </c>
      <c r="G26" s="160">
        <f>Calculations!E20</f>
        <v>14.695076956194859</v>
      </c>
      <c r="H26" s="160">
        <f>Calculations!E21</f>
        <v>211.39780640905155</v>
      </c>
      <c r="I26" s="160">
        <f>Calculations!E22</f>
        <v>8.2599778969461291</v>
      </c>
      <c r="J26" s="183"/>
      <c r="L26" s="136"/>
      <c r="M26" s="137">
        <f t="shared" si="1"/>
        <v>2040</v>
      </c>
      <c r="N26" s="145">
        <f t="shared" si="6"/>
        <v>22497.421245833943</v>
      </c>
      <c r="O26" s="146">
        <f t="shared" si="7"/>
        <v>4.0994332501726349E-2</v>
      </c>
      <c r="P26" s="147">
        <f t="shared" si="8"/>
        <v>0.60549443416603621</v>
      </c>
      <c r="Q26" s="148">
        <f t="shared" si="4"/>
        <v>1</v>
      </c>
      <c r="R26" s="37">
        <f>IF(M26=Year_Open_to_Traffic?,Calculations!$J$5,Calculations!R25+(Calculations!R25*Calculations!O26*Q26))</f>
        <v>4126988.0797548639</v>
      </c>
      <c r="S26" s="54">
        <f t="shared" si="0"/>
        <v>0</v>
      </c>
      <c r="T26" s="37">
        <f t="shared" si="5"/>
        <v>0</v>
      </c>
      <c r="U26" s="142">
        <f>T26/(1+Real_Discount_Rate)^(Calculations!M26-'Assumed Values'!$C$5)</f>
        <v>0</v>
      </c>
    </row>
    <row r="27" spans="1:21" ht="15.75" x14ac:dyDescent="0.25">
      <c r="A27" s="161" t="s">
        <v>95</v>
      </c>
      <c r="B27" s="162" t="s">
        <v>96</v>
      </c>
      <c r="D27" s="163">
        <f>D$26*'Value of Statistical Life'!D17*Appropriate_Crash_Reduction_Factor</f>
        <v>0</v>
      </c>
      <c r="E27" s="163">
        <f>E$26*'Value of Statistical Life'!E17*Appropriate_Crash_Reduction_Factor</f>
        <v>4.7932113876952544E-2</v>
      </c>
      <c r="F27" s="163">
        <f>F$26*'Value of Statistical Life'!F17*Appropriate_Crash_Reduction_Factor</f>
        <v>0.29278014147350667</v>
      </c>
      <c r="G27" s="163">
        <f>G$26*'Value of Statistical Life'!G17*Appropriate_Crash_Reduction_Factor</f>
        <v>0.75769874096914558</v>
      </c>
      <c r="H27" s="163">
        <f>H$26*'Value of Statistical Life'!H17*Appropriate_Crash_Reduction_Factor</f>
        <v>43.035266160161392</v>
      </c>
      <c r="I27" s="163">
        <f>I$26*'Value of Statistical Life'!I17*Appropriate_Crash_Reduction_Factor</f>
        <v>0.79367814817944204</v>
      </c>
      <c r="J27" s="163">
        <f t="shared" ref="J27:J33" si="9">SUM(D27:I27)</f>
        <v>44.927355304660445</v>
      </c>
      <c r="K27" s="164"/>
      <c r="L27" s="136"/>
      <c r="M27" s="144">
        <f t="shared" si="1"/>
        <v>2041</v>
      </c>
      <c r="N27" s="145">
        <f t="shared" si="6"/>
        <v>23419.688012817063</v>
      </c>
      <c r="O27" s="146">
        <f t="shared" si="7"/>
        <v>4.0994332501726349E-2</v>
      </c>
      <c r="P27" s="147">
        <f t="shared" si="8"/>
        <v>0.63031627432818338</v>
      </c>
      <c r="Q27" s="148">
        <f t="shared" si="4"/>
        <v>1</v>
      </c>
      <c r="R27" s="37">
        <f>IF(M27=Year_Open_to_Traffic?,Calculations!$J$5,Calculations!R26+(Calculations!R26*Calculations!O27*Q27))</f>
        <v>4296171.2013269961</v>
      </c>
      <c r="S27" s="54">
        <f t="shared" si="0"/>
        <v>0</v>
      </c>
      <c r="T27" s="37">
        <f t="shared" si="5"/>
        <v>0</v>
      </c>
      <c r="U27" s="142">
        <f>T27/(1+Real_Discount_Rate)^(Calculations!M27-'Assumed Values'!$C$5)</f>
        <v>0</v>
      </c>
    </row>
    <row r="28" spans="1:21" ht="15.75" x14ac:dyDescent="0.25">
      <c r="A28" s="161" t="s">
        <v>61</v>
      </c>
      <c r="B28" s="165" t="s">
        <v>62</v>
      </c>
      <c r="D28" s="163">
        <f>D$26*'Value of Statistical Life'!D18*Appropriate_Crash_Reduction_Factor</f>
        <v>0</v>
      </c>
      <c r="E28" s="163">
        <f>E$26*'Value of Statistical Life'!E18*Appropriate_Crash_Reduction_Factor</f>
        <v>0.773287105721019</v>
      </c>
      <c r="F28" s="163">
        <f>F$26*'Value of Statistical Life'!F18*Appropriate_Crash_Reduction_Factor</f>
        <v>2.6953521518208543</v>
      </c>
      <c r="G28" s="163">
        <f>G$26*'Value of Statistical Life'!G18*Appropriate_Crash_Reduction_Factor</f>
        <v>2.2289669068079836</v>
      </c>
      <c r="H28" s="163">
        <f>H$26*'Value of Statistical Life'!H18*Appropriate_Crash_Reduction_Factor</f>
        <v>3.3750505384430718</v>
      </c>
      <c r="I28" s="163">
        <f>I$26*'Value of Statistical Life'!I18*Appropriate_Crash_Reduction_Factor</f>
        <v>0.75847907836939576</v>
      </c>
      <c r="J28" s="163">
        <f t="shared" si="9"/>
        <v>9.8311357811623239</v>
      </c>
      <c r="K28" s="164"/>
      <c r="L28" s="136"/>
      <c r="M28" s="137">
        <f t="shared" si="1"/>
        <v>2042</v>
      </c>
      <c r="N28" s="145">
        <f t="shared" si="6"/>
        <v>24379.762490301182</v>
      </c>
      <c r="O28" s="146">
        <f t="shared" si="7"/>
        <v>4.0994332501726349E-2</v>
      </c>
      <c r="P28" s="147">
        <f t="shared" si="8"/>
        <v>0.65615566925924229</v>
      </c>
      <c r="Q28" s="148">
        <f t="shared" si="4"/>
        <v>1</v>
      </c>
      <c r="R28" s="37">
        <f>IF(M28=Year_Open_to_Traffic?,Calculations!$J$5,Calculations!R27+(Calculations!R27*Calculations!O28*Q28))</f>
        <v>4472289.8720385358</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0.29158121528639042</v>
      </c>
      <c r="F29" s="163">
        <f>F$26*'Value of Statistical Life'!F19*Appropriate_Crash_Reduction_Factor</f>
        <v>0.38225925263906496</v>
      </c>
      <c r="G29" s="163">
        <f>G$26*'Value of Statistical Life'!G19*Appropriate_Crash_Reduction_Factor</f>
        <v>0.20661572101949094</v>
      </c>
      <c r="H29" s="163">
        <f>H$26*'Value of Statistical Life'!H19*Appropriate_Crash_Reduction_Factor</f>
        <v>9.2084884471782855E-2</v>
      </c>
      <c r="I29" s="163">
        <f>I$26*'Value of Statistical Life'!I19*Appropriate_Crash_Reduction_Factor</f>
        <v>0.16122155258375331</v>
      </c>
      <c r="J29" s="163">
        <f t="shared" si="9"/>
        <v>1.1337626260004825</v>
      </c>
      <c r="K29" s="164"/>
      <c r="L29" s="136"/>
      <c r="M29" s="144">
        <f t="shared" si="1"/>
        <v>2043</v>
      </c>
      <c r="N29" s="145">
        <f t="shared" si="6"/>
        <v>25379.194580141706</v>
      </c>
      <c r="O29" s="146">
        <f t="shared" si="7"/>
        <v>4.0994332501726349E-2</v>
      </c>
      <c r="P29" s="147">
        <f t="shared" si="8"/>
        <v>0.68305433293774842</v>
      </c>
      <c r="Q29" s="148">
        <f t="shared" si="4"/>
        <v>1</v>
      </c>
      <c r="R29" s="37">
        <f>IF(M29=Year_Open_to_Traffic?,Calculations!$J$5,Calculations!R28+(Calculations!R28*Calculations!O29*Q29))</f>
        <v>4655628.4100969862</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0.201337191749073</v>
      </c>
      <c r="F30" s="163">
        <f>F$26*'Value of Statistical Life'!F20*Appropriate_Crash_Reduction_Factor</f>
        <v>0.11192781016436561</v>
      </c>
      <c r="G30" s="163">
        <f>G$26*'Value of Statistical Life'!G20*Appropriate_Crash_Reduction_Factor</f>
        <v>3.4624540324186326E-2</v>
      </c>
      <c r="H30" s="163">
        <f>H$26*'Value of Statistical Life'!H20*Appropriate_Crash_Reduction_Factor</f>
        <v>3.7206013927993079E-3</v>
      </c>
      <c r="I30" s="163">
        <f>I$26*'Value of Statistical Life'!I20*Appropriate_Crash_Reduction_Factor</f>
        <v>8.7534289765096904E-2</v>
      </c>
      <c r="J30" s="163">
        <f t="shared" si="9"/>
        <v>0.43914443339552112</v>
      </c>
      <c r="K30" s="164"/>
      <c r="L30" s="136"/>
      <c r="M30" s="144">
        <f t="shared" si="1"/>
        <v>2044</v>
      </c>
      <c r="N30" s="145">
        <f t="shared" si="6"/>
        <v>26419.597721386046</v>
      </c>
      <c r="O30" s="146">
        <f t="shared" si="7"/>
        <v>4.0994332501726349E-2</v>
      </c>
      <c r="P30" s="147">
        <f t="shared" si="8"/>
        <v>0.71105568937894337</v>
      </c>
      <c r="Q30" s="148">
        <f t="shared" si="4"/>
        <v>1</v>
      </c>
      <c r="R30" s="37">
        <f>IF(M30=Year_Open_to_Traffic?,Calculations!$J$5,Calculations!R29+(Calculations!R29*Calculations!O30*Q30))</f>
        <v>4846482.7891449854</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5.5588421854388372E-2</v>
      </c>
      <c r="F31" s="163">
        <f>F$26*'Value of Statistical Life'!F21*Appropriate_Crash_Reduction_Factor</f>
        <v>2.1747177155094541E-2</v>
      </c>
      <c r="G31" s="163">
        <f>G$26*'Value of Statistical Life'!G21*Appropriate_Crash_Reduction_Factor</f>
        <v>4.5907420411152745E-3</v>
      </c>
      <c r="H31" s="163">
        <f>H$26*'Value of Statistical Life'!H21*Appropriate_Crash_Reduction_Factor</f>
        <v>0</v>
      </c>
      <c r="I31" s="163">
        <f>I$26*'Value of Statistical Life'!I21*Appropriate_Crash_Reduction_Factor</f>
        <v>1.1212093997314676E-2</v>
      </c>
      <c r="J31" s="163">
        <f t="shared" si="9"/>
        <v>9.3138435047912874E-2</v>
      </c>
      <c r="K31" s="164"/>
      <c r="L31" s="136"/>
      <c r="M31" s="144">
        <f t="shared" si="1"/>
        <v>2045</v>
      </c>
      <c r="N31" s="145">
        <f t="shared" si="6"/>
        <v>27502.651494938396</v>
      </c>
      <c r="O31" s="146">
        <f t="shared" si="7"/>
        <v>4.0994332501726349E-2</v>
      </c>
      <c r="P31" s="147">
        <f t="shared" si="8"/>
        <v>0.74020494273658799</v>
      </c>
      <c r="Q31" s="148">
        <f t="shared" si="4"/>
        <v>1</v>
      </c>
      <c r="R31" s="37">
        <f>IF(M31=Year_Open_to_Traffic?,Calculations!$J$5,Calculations!R30+(Calculations!R30*Calculations!O31*Q31))</f>
        <v>5045161.1160670891</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2.4865568531453709E-2</v>
      </c>
      <c r="F32" s="163">
        <f>F$26*'Value of Statistical Life'!F22*Appropriate_Crash_Reduction_Factor</f>
        <v>3.5426853107492721E-3</v>
      </c>
      <c r="G32" s="163">
        <f>G$26*'Value of Statistical Life'!G22*Appropriate_Crash_Reduction_Factor</f>
        <v>4.2027920094717293E-4</v>
      </c>
      <c r="H32" s="163">
        <f>H$26*'Value of Statistical Life'!H22*Appropriate_Crash_Reduction_Factor</f>
        <v>1.3952255222997403E-3</v>
      </c>
      <c r="I32" s="163">
        <f>I$26*'Value of Statistical Life'!I22*Appropriate_Crash_Reduction_Factor</f>
        <v>5.0699744331455339E-3</v>
      </c>
      <c r="J32" s="163">
        <f t="shared" si="9"/>
        <v>3.529373299859543E-2</v>
      </c>
      <c r="K32" s="164"/>
      <c r="L32" s="136"/>
      <c r="M32" s="144">
        <f t="shared" si="1"/>
        <v>2046</v>
      </c>
      <c r="N32" s="145">
        <f t="shared" si="6"/>
        <v>28630.104335001</v>
      </c>
      <c r="O32" s="146">
        <f t="shared" si="7"/>
        <v>4.0994332501726349E-2</v>
      </c>
      <c r="P32" s="147">
        <f t="shared" si="8"/>
        <v>0.77054915027855297</v>
      </c>
      <c r="Q32" s="148">
        <f t="shared" si="4"/>
        <v>1</v>
      </c>
      <c r="R32" s="37">
        <f>IF(M32=Year_Open_to_Traffic?,Calculations!$J$5,Calculations!R31+(Calculations!R31*Calculations!O32*Q32))</f>
        <v>5251984.1283839243</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0.14791123210810511</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0.14791123210810511</v>
      </c>
      <c r="K33" s="164"/>
      <c r="L33" s="136"/>
      <c r="M33" s="144">
        <f t="shared" si="1"/>
        <v>2047</v>
      </c>
      <c r="N33" s="145">
        <f t="shared" si="6"/>
        <v>29803.776351669148</v>
      </c>
      <c r="O33" s="146">
        <f t="shared" si="7"/>
        <v>4.0994332501726349E-2</v>
      </c>
      <c r="P33" s="147">
        <f t="shared" si="8"/>
        <v>0.80213729835399472</v>
      </c>
      <c r="Q33" s="148">
        <f t="shared" si="4"/>
        <v>1</v>
      </c>
      <c r="R33" s="37">
        <f>IF(M33=Year_Open_to_Traffic?,Calculations!$J$5,Calculations!R32+(Calculations!R32*Calculations!O33*Q33))</f>
        <v>5467285.7120366842</v>
      </c>
      <c r="S33" s="54">
        <f t="shared" si="0"/>
        <v>0</v>
      </c>
      <c r="T33" s="37">
        <f t="shared" si="5"/>
        <v>0</v>
      </c>
      <c r="U33" s="142">
        <f>T33/(1+Real_Discount_Rate)^(Calculations!M33-'Assumed Values'!$C$5)</f>
        <v>0</v>
      </c>
    </row>
    <row r="34" spans="1:21" ht="15.75" x14ac:dyDescent="0.25">
      <c r="J34" s="166"/>
      <c r="L34" s="136"/>
      <c r="M34" s="144">
        <f t="shared" si="1"/>
        <v>2048</v>
      </c>
      <c r="N34" s="145">
        <f t="shared" si="6"/>
        <v>31025.562269236561</v>
      </c>
      <c r="O34" s="146">
        <f t="shared" si="7"/>
        <v>4.0994332501726349E-2</v>
      </c>
      <c r="P34" s="147">
        <f t="shared" si="8"/>
        <v>0.83502038147475488</v>
      </c>
      <c r="Q34" s="148">
        <f t="shared" si="4"/>
        <v>1</v>
      </c>
      <c r="R34" s="37">
        <f>IF(M34=Year_Open_to_Traffic?,Calculations!$J$5,Calculations!R33+(Calculations!R33*Calculations!O34*Q34))</f>
        <v>5691413.440397854</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32297.434484954661</v>
      </c>
      <c r="O35" s="146">
        <f t="shared" si="7"/>
        <v>4.0994332501726349E-2</v>
      </c>
      <c r="P35" s="147">
        <f t="shared" si="8"/>
        <v>0.86925148463864932</v>
      </c>
      <c r="Q35" s="148">
        <f t="shared" si="4"/>
        <v>1</v>
      </c>
      <c r="R35" s="37">
        <f>IF(M35=Year_Open_to_Traffic?,Calculations!$J$5,Calculations!R34+(Calculations!R34*Calculations!O35*Q35))</f>
        <v>5924729.1353783179</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33621.446253183618</v>
      </c>
      <c r="O36" s="146">
        <f t="shared" si="7"/>
        <v>4.0994332501726349E-2</v>
      </c>
      <c r="P36" s="147">
        <f t="shared" si="8"/>
        <v>0.90488586902754542</v>
      </c>
      <c r="Q36" s="148">
        <f t="shared" si="4"/>
        <v>1</v>
      </c>
      <c r="R36" s="37">
        <f>IF(M36=Year_Open_to_Traffic?,Calculations!$J$5,Calculations!R35+(Calculations!R35*Calculations!O36*Q36))</f>
        <v>6167609.4515366824</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16457.297768100761</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6" t="s">
        <v>73</v>
      </c>
      <c r="C12" s="187"/>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8"/>
      <c r="T12" s="188"/>
      <c r="U12" s="188"/>
      <c r="V12" s="188"/>
      <c r="W12" s="188"/>
      <c r="X12" s="188"/>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8"/>
      <c r="T26" s="188"/>
      <c r="U26" s="188"/>
      <c r="V26" s="188"/>
      <c r="W26" s="188"/>
      <c r="X26" s="188"/>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9" t="s">
        <v>97</v>
      </c>
      <c r="C24" s="189"/>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Drew Davis</cp:lastModifiedBy>
  <cp:lastPrinted>2018-10-26T20:53:43Z</cp:lastPrinted>
  <dcterms:created xsi:type="dcterms:W3CDTF">2012-07-25T15:48:32Z</dcterms:created>
  <dcterms:modified xsi:type="dcterms:W3CDTF">2018-10-26T20:53:50Z</dcterms:modified>
</cp:coreProperties>
</file>