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8_HW_SH99/"/>
    </mc:Choice>
  </mc:AlternateContent>
  <xr:revisionPtr revIDLastSave="0" documentId="10_ncr:100000_{D1DB0681-5A46-48ED-AB58-9C1FFE64ED07}"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O35"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B15" i="12" s="1"/>
  <c r="P5" i="12" s="1"/>
  <c r="I24" i="9"/>
  <c r="H24" i="9"/>
  <c r="G24" i="9"/>
  <c r="F24" i="9"/>
  <c r="E24" i="9"/>
  <c r="D24" i="9"/>
  <c r="S4" i="12"/>
  <c r="B16" i="12"/>
  <c r="P4" i="12"/>
  <c r="Q4" i="12"/>
  <c r="B17" i="12"/>
  <c r="O33" i="12"/>
  <c r="O34" i="12"/>
  <c r="O31" i="12"/>
  <c r="O30" i="12"/>
  <c r="O24" i="12"/>
  <c r="O11" i="12"/>
  <c r="O20" i="12"/>
  <c r="O5" i="12"/>
  <c r="N5" i="12" s="1"/>
  <c r="N6" i="12" s="1"/>
  <c r="O21" i="12"/>
  <c r="O27" i="12"/>
  <c r="O9" i="12"/>
  <c r="O26" i="12"/>
  <c r="O10" i="12"/>
  <c r="O22" i="12"/>
  <c r="O6" i="12"/>
  <c r="O23"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T4" i="12"/>
  <c r="U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Q5" i="12" l="1"/>
  <c r="R5" i="12" s="1"/>
  <c r="P6" i="12"/>
  <c r="O18" i="12"/>
  <c r="O29" i="12"/>
  <c r="O7" i="12"/>
  <c r="N7" i="12" s="1"/>
  <c r="N8" i="12" s="1"/>
  <c r="O15" i="12"/>
  <c r="O14" i="12"/>
  <c r="O25" i="12"/>
  <c r="O28" i="12"/>
  <c r="O36" i="12"/>
  <c r="O12" i="12"/>
  <c r="O16" i="12"/>
  <c r="O17" i="12"/>
  <c r="O32" i="12"/>
  <c r="O19" i="12"/>
  <c r="O13" i="12"/>
  <c r="O8" i="12"/>
  <c r="R6" i="12" l="1"/>
  <c r="T5" i="12"/>
  <c r="U5" i="12" s="1"/>
  <c r="E4" i="12"/>
  <c r="E5" i="12" s="1"/>
  <c r="E6" i="12" s="1"/>
  <c r="N9" i="12"/>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Q6" i="12"/>
  <c r="P7" i="12"/>
  <c r="T6" i="12" l="1"/>
  <c r="U6" i="12" s="1"/>
  <c r="Q7" i="12"/>
  <c r="R7" i="12" s="1"/>
  <c r="T7" i="12" s="1"/>
  <c r="U7" i="12" s="1"/>
  <c r="P8" i="12"/>
  <c r="E18" i="12"/>
  <c r="E26" i="12" s="1"/>
  <c r="E20" i="12"/>
  <c r="G26" i="12" s="1"/>
  <c r="E22" i="12"/>
  <c r="I26" i="12" s="1"/>
  <c r="E21" i="12"/>
  <c r="H26" i="12" s="1"/>
  <c r="E19" i="12"/>
  <c r="F26" i="12" s="1"/>
  <c r="E17" i="12"/>
  <c r="D26" i="12" s="1"/>
  <c r="G28" i="12" l="1"/>
  <c r="G32" i="12"/>
  <c r="G30" i="12"/>
  <c r="G27" i="12"/>
  <c r="G31" i="12"/>
  <c r="G29" i="12"/>
  <c r="G33" i="12"/>
  <c r="Q8" i="12"/>
  <c r="P9" i="12"/>
  <c r="E32" i="12"/>
  <c r="E30" i="12"/>
  <c r="E31" i="12"/>
  <c r="E29" i="12"/>
  <c r="E28" i="12"/>
  <c r="E33" i="12"/>
  <c r="E27" i="12"/>
  <c r="I33" i="12"/>
  <c r="I27" i="12"/>
  <c r="I31" i="12"/>
  <c r="I29" i="12"/>
  <c r="I32" i="12"/>
  <c r="I30" i="12"/>
  <c r="I28" i="12"/>
  <c r="D30" i="12"/>
  <c r="D29" i="12"/>
  <c r="D28" i="12"/>
  <c r="D33" i="12"/>
  <c r="D32" i="12"/>
  <c r="D27" i="12"/>
  <c r="D31" i="12"/>
  <c r="J31" i="12" s="1"/>
  <c r="F32" i="12"/>
  <c r="F29" i="12"/>
  <c r="F33" i="12"/>
  <c r="F27" i="12"/>
  <c r="F31" i="12"/>
  <c r="F30" i="12"/>
  <c r="F28" i="12"/>
  <c r="H32" i="12"/>
  <c r="H27" i="12"/>
  <c r="H31" i="12"/>
  <c r="H28" i="12"/>
  <c r="H29" i="12"/>
  <c r="H30" i="12"/>
  <c r="H33" i="12"/>
  <c r="J27" i="12" l="1"/>
  <c r="J5" i="12" s="1"/>
  <c r="R8" i="12" s="1"/>
  <c r="J32" i="12"/>
  <c r="J33" i="12"/>
  <c r="J28" i="12"/>
  <c r="J29" i="12"/>
  <c r="Q9" i="12"/>
  <c r="P10" i="12"/>
  <c r="J30" i="12"/>
  <c r="R9" i="12" l="1"/>
  <c r="T8" i="12"/>
  <c r="U8" i="12" s="1"/>
  <c r="Q10" i="12"/>
  <c r="P11" i="12"/>
  <c r="R10" i="12" l="1"/>
  <c r="T9" i="12"/>
  <c r="U9" i="12" s="1"/>
  <c r="Q11" i="12"/>
  <c r="P12" i="12"/>
  <c r="T10" i="12" l="1"/>
  <c r="U10" i="12" s="1"/>
  <c r="R11" i="12"/>
  <c r="P13" i="12"/>
  <c r="Q12" i="12"/>
  <c r="T11" i="12" l="1"/>
  <c r="U11" i="12" s="1"/>
  <c r="R12" i="12"/>
  <c r="Q13" i="12"/>
  <c r="P14" i="12"/>
  <c r="P15" i="12" l="1"/>
  <c r="Q14" i="12"/>
  <c r="R13" i="12"/>
  <c r="T12" i="12"/>
  <c r="U12" i="12" s="1"/>
  <c r="Q15" i="12" l="1"/>
  <c r="P16" i="12"/>
  <c r="T13" i="12"/>
  <c r="U13" i="12" s="1"/>
  <c r="R14" i="12"/>
  <c r="T14" i="12" l="1"/>
  <c r="U14" i="12" s="1"/>
  <c r="R15" i="12"/>
  <c r="P17" i="12"/>
  <c r="Q16" i="12"/>
  <c r="T15" i="12" l="1"/>
  <c r="U15" i="12" s="1"/>
  <c r="R16" i="12"/>
  <c r="P18" i="12"/>
  <c r="Q17" i="12"/>
  <c r="P19" i="12" l="1"/>
  <c r="Q18" i="12"/>
  <c r="R17" i="12"/>
  <c r="T16" i="12"/>
  <c r="U16" i="12" s="1"/>
  <c r="R18" i="12" l="1"/>
  <c r="T17" i="12"/>
  <c r="U17" i="12" s="1"/>
  <c r="P20" i="12"/>
  <c r="Q19" i="12"/>
  <c r="P21" i="12" l="1"/>
  <c r="Q20" i="12"/>
  <c r="T18" i="12"/>
  <c r="U18" i="12" s="1"/>
  <c r="R19" i="12"/>
  <c r="R20" i="12" l="1"/>
  <c r="T19" i="12"/>
  <c r="U19" i="12" s="1"/>
  <c r="Q21" i="12"/>
  <c r="P22" i="12"/>
  <c r="P23" i="12" l="1"/>
  <c r="Q22" i="12"/>
  <c r="R21" i="12"/>
  <c r="T20" i="12"/>
  <c r="U20" i="12" s="1"/>
  <c r="R22" i="12" l="1"/>
  <c r="T21" i="12"/>
  <c r="U21" i="12" s="1"/>
  <c r="Q23" i="12"/>
  <c r="P24" i="12"/>
  <c r="Q24" i="12" l="1"/>
  <c r="P25" i="12"/>
  <c r="R23" i="12"/>
  <c r="T22" i="12"/>
  <c r="U22" i="12" s="1"/>
  <c r="T23" i="12" l="1"/>
  <c r="U23" i="12" s="1"/>
  <c r="R24" i="12"/>
  <c r="Q25" i="12"/>
  <c r="P26" i="12"/>
  <c r="R25" i="12" l="1"/>
  <c r="T24" i="12"/>
  <c r="U24" i="12" s="1"/>
  <c r="P27" i="12"/>
  <c r="Q26" i="12"/>
  <c r="R26" i="12" l="1"/>
  <c r="T25" i="12"/>
  <c r="U25" i="12" s="1"/>
  <c r="Q27" i="12"/>
  <c r="P28" i="12"/>
  <c r="T26" i="12" l="1"/>
  <c r="U26" i="12" s="1"/>
  <c r="R27" i="12"/>
  <c r="P29" i="12"/>
  <c r="Q28" i="12"/>
  <c r="Q29" i="12" l="1"/>
  <c r="P30" i="12"/>
  <c r="T27" i="12"/>
  <c r="U27" i="12" s="1"/>
  <c r="R28" i="12"/>
  <c r="R29" i="12" l="1"/>
  <c r="T28" i="12"/>
  <c r="U28" i="12" s="1"/>
  <c r="Q30" i="12"/>
  <c r="P31" i="12"/>
  <c r="R30" i="12" l="1"/>
  <c r="T29" i="12"/>
  <c r="U29" i="12" s="1"/>
  <c r="Q31" i="12"/>
  <c r="P32" i="12"/>
  <c r="P33" i="12" l="1"/>
  <c r="Q32" i="12"/>
  <c r="T30" i="12"/>
  <c r="U30" i="12" s="1"/>
  <c r="R31" i="12"/>
  <c r="T31" i="12" l="1"/>
  <c r="U31" i="12" s="1"/>
  <c r="R32" i="12"/>
  <c r="P34" i="12"/>
  <c r="Q33" i="12"/>
  <c r="Q34" i="12" l="1"/>
  <c r="P35" i="12"/>
  <c r="T32" i="12"/>
  <c r="U32" i="12" s="1"/>
  <c r="R33" i="12"/>
  <c r="R34" i="12" l="1"/>
  <c r="T33" i="12"/>
  <c r="U33" i="12" s="1"/>
  <c r="Q35" i="12"/>
  <c r="P36" i="12"/>
  <c r="Q36" i="12" s="1"/>
  <c r="T34" i="12" l="1"/>
  <c r="U34" i="12" s="1"/>
  <c r="R35" i="12"/>
  <c r="R36" i="12" l="1"/>
  <c r="T36" i="12" s="1"/>
  <c r="U36" i="12" s="1"/>
  <c r="U37" i="12" s="1"/>
  <c r="C37" i="11" s="1"/>
  <c r="T35" i="12"/>
  <c r="U35" i="12"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<sst xmlns="http://schemas.openxmlformats.org/spreadsheetml/2006/main" count="441" uniqueCount="286">
  <si>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</si>
  <si>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</si>
  <si>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</si>
  <si>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</si>
  <si>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</si>
  <si>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</si>
  <si>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</si>
  <si>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</si>
  <si>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</si>
  <si>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</si>
  <si>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</si>
  <si>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</si>
  <si>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</si>
  <si>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</si>
  <si>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</si>
  <si>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</si>
  <si>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</si>
  <si>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</si>
  <si>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</si>
  <si>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</si>
  <si>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</si>
  <si>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</si>
  <si>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</si>
  <si>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</si>
  <si>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</si>
  <si>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</si>
  <si>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</si>
  <si>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</si>
  <si>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</si>
  <si>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</si>
  <si>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</si>
  <si>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</si>
  <si>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</si>
  <si>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</si>
  <si>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</si>
  <si>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</si>
  <si>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</si>
  <si>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</si>
  <si>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</si>
  <si>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</si>
  <si>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</si>
  <si>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</si>
  <si>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</si>
  <si>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</si>
  <si>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</si>
  <si>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</si>
  <si>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</si>
  <si>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</si>
  <si>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99 Seg D Widening</t>
  </si>
  <si>
    <t>County</t>
  </si>
  <si>
    <t>Harris</t>
  </si>
  <si>
    <t>Data entered by the sponsors</t>
  </si>
  <si>
    <t>Facility Type</t>
  </si>
  <si>
    <t xml:space="preserve">Freeway </t>
  </si>
  <si>
    <t>HGAC regional travel demand model data provided by HGAC upon request</t>
  </si>
  <si>
    <t>Street Name:</t>
  </si>
  <si>
    <t>SH 99</t>
  </si>
  <si>
    <t>Populated based on selection in cell "C18"</t>
  </si>
  <si>
    <t>Limits (From)</t>
  </si>
  <si>
    <t>.720 MI N KINGSLAND BLVD (SEGMENT D)</t>
  </si>
  <si>
    <t>Benefits calculated by the template</t>
  </si>
  <si>
    <t>Limits (To)</t>
  </si>
  <si>
    <t>FORT BEND COUNTY LINE</t>
  </si>
  <si>
    <t>Length (in Miles)</t>
  </si>
  <si>
    <t>Application ID Number:</t>
  </si>
  <si>
    <t>Sponsor ID Number (CSJ, etc.):</t>
  </si>
  <si>
    <t>3510-05-041</t>
  </si>
  <si>
    <t>Proposed Improvements Information</t>
  </si>
  <si>
    <r>
      <t xml:space="preserve">Year Open to Traffic? </t>
    </r>
    <r>
      <rPr>
        <b/>
        <sz val="11"/>
        <color theme="1"/>
        <rFont val="Calibri"/>
        <family val="2"/>
        <scheme val="minor"/>
      </rPr>
      <t>(Must be &gt;=2021)</t>
    </r>
  </si>
  <si>
    <t>Safety Improvement Type</t>
  </si>
  <si>
    <t>Widen Lane(s)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</si>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</sst>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4">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0" fillId="2" borderId="1" xfId="0" applyNumberFormat="1" applyFill="1" applyBorder="1" applyAlignment="1" applyProtection="1">
      <alignment wrapText="1"/>
      <protection locked="0"/>
    </xf>
    <xf numFmtId="3" fontId="0" fillId="14" borderId="1" xfId="0" applyNumberFormat="1" applyFill="1" applyBorder="1" applyAlignment="1" applyProtection="1">
      <alignment wrapText="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3" t="s">
        <v>11</v>
      </c>
      <c r="E6" s="134"/>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3" t="s">
        <v>11</v>
      </c>
      <c r="E6" s="134"/>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3" t="s">
        <v>37</v>
      </c>
      <c r="E8" s="134"/>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5" zoomScaleNormal="100" workbookViewId="0">
      <selection activeCell="D32" sqref="D32"/>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1.51</v>
      </c>
      <c r="D12" s="80"/>
      <c r="N12" s="135"/>
      <c r="O12" s="135"/>
      <c r="P12" s="135"/>
      <c r="Q12" s="135"/>
      <c r="R12" s="135"/>
      <c r="S12" s="135"/>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2022</v>
      </c>
      <c r="D17" s="81"/>
    </row>
    <row r="18" spans="2:13" x14ac:dyDescent="0.25">
      <c r="B18" s="3" t="s">
        <v>69</v>
      </c>
      <c r="C18" s="99" t="s">
        <v>70</v>
      </c>
    </row>
    <row r="19" spans="2:13" x14ac:dyDescent="0.25">
      <c r="B19" s="100" t="s">
        <v>71</v>
      </c>
      <c r="C19" s="129">
        <f>VLOOKUP(C18,'CRF Lookup Table'!C3:F84,2, FALSE)</f>
        <v>502</v>
      </c>
      <c r="D19" s="82"/>
    </row>
    <row r="20" spans="2:13" x14ac:dyDescent="0.25">
      <c r="B20" s="100" t="s">
        <v>72</v>
      </c>
      <c r="C20" s="130">
        <f>VLOOKUP(C18,'CRF Lookup Table'!C3:F84,3, FALSE)</f>
        <v>0.3</v>
      </c>
      <c r="D20" s="54"/>
      <c r="F20" s="58"/>
    </row>
    <row r="21" spans="2:13" x14ac:dyDescent="0.25">
      <c r="B21" s="100" t="s">
        <v>73</v>
      </c>
      <c r="C21" s="129">
        <f>VLOOKUP(C18,'CRF Lookup Table'!C3:F84,4, FALSE)</f>
        <v>20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131">
        <v>108674</v>
      </c>
      <c r="D25" s="83"/>
      <c r="I25" s="42"/>
    </row>
    <row r="26" spans="2:13" x14ac:dyDescent="0.25">
      <c r="I26" s="42"/>
    </row>
    <row r="27" spans="2:13" x14ac:dyDescent="0.25">
      <c r="B27" s="74" t="s">
        <v>76</v>
      </c>
      <c r="C27" s="132">
        <v>56804</v>
      </c>
      <c r="D27" s="83"/>
      <c r="I27" s="42"/>
    </row>
    <row r="28" spans="2:13" x14ac:dyDescent="0.25">
      <c r="B28" s="74" t="s">
        <v>77</v>
      </c>
      <c r="C28" s="75">
        <v>62216</v>
      </c>
      <c r="D28" s="83"/>
      <c r="I28" s="42"/>
    </row>
    <row r="29" spans="2:13" x14ac:dyDescent="0.25">
      <c r="B29" s="74" t="s">
        <v>78</v>
      </c>
      <c r="C29" s="76">
        <v>69083</v>
      </c>
      <c r="D29" s="59"/>
      <c r="I29" s="42"/>
    </row>
    <row r="30" spans="2:13" x14ac:dyDescent="0.25">
      <c r="B30" s="74" t="s">
        <v>79</v>
      </c>
      <c r="C30" s="76">
        <v>93338</v>
      </c>
      <c r="D30" s="59"/>
      <c r="I30" s="42"/>
    </row>
    <row r="31" spans="2:13" x14ac:dyDescent="0.25">
      <c r="B31" s="74" t="s">
        <v>80</v>
      </c>
      <c r="C31" s="75">
        <v>81848</v>
      </c>
      <c r="D31" s="83"/>
      <c r="H31" s="60"/>
    </row>
    <row r="32" spans="2:13" x14ac:dyDescent="0.25">
      <c r="B32" s="74" t="s">
        <v>81</v>
      </c>
      <c r="C32" s="75">
        <v>93338</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33636.535541200079</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121532.56504376314</v>
      </c>
      <c r="G4" s="138" t="s">
        <v>95</v>
      </c>
      <c r="H4" s="138"/>
      <c r="I4" s="138"/>
      <c r="J4" s="138"/>
      <c r="L4" s="107"/>
      <c r="M4" s="108">
        <v>2018</v>
      </c>
      <c r="N4" s="109">
        <f>_2018_Volume_ADT</f>
        <v>108674</v>
      </c>
      <c r="O4" s="110" t="s">
        <v>96</v>
      </c>
      <c r="P4" s="111">
        <f>MIN(B12,1)</f>
        <v>0.91301272984441306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20</v>
      </c>
      <c r="D5" s="105" t="s">
        <v>98</v>
      </c>
      <c r="E5" s="106">
        <f>$E$4*'Inputs &amp; Outputs'!$C$12</f>
        <v>183514.17321608233</v>
      </c>
      <c r="G5" s="139" t="s">
        <v>99</v>
      </c>
      <c r="H5" s="139"/>
      <c r="I5" s="139"/>
      <c r="J5" s="112">
        <f>SUMPRODUCT(Possible_Crash_Reductions,'Value of Statistical Life'!E5:E11)</f>
        <v>3475990.191712108</v>
      </c>
      <c r="L5" s="107"/>
      <c r="M5" s="11">
        <f t="shared" ref="M5:M36" si="1">M4+1</f>
        <v>2019</v>
      </c>
      <c r="N5" s="113">
        <f>N4+(N4*O5)</f>
        <v>111755.1138863427</v>
      </c>
      <c r="O5" s="114">
        <f t="shared" ref="O5:O11" si="2">IF(ISERROR(_2025_2045_Demand_Growth),_2018_2045_Demand_Growth,_2018_2025_Demand_Growth)</f>
        <v>2.8351895451926845E-2</v>
      </c>
      <c r="P5" s="115">
        <f t="shared" ref="P5:P11" si="3">P4*(1+IFERROR(_2018_2025_V_C_Growth,_2018_2045_V_C_Growth))</f>
        <v>0.88604011544085348</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47713685.036181405</v>
      </c>
      <c r="L6" s="107"/>
      <c r="M6" s="108">
        <f t="shared" si="1"/>
        <v>2020</v>
      </c>
      <c r="N6" s="113">
        <f t="shared" ref="N6:N36" si="6">N5+(N5*O6)</f>
        <v>114923.58319146647</v>
      </c>
      <c r="O6" s="114">
        <f t="shared" si="2"/>
        <v>2.8351895451926845E-2</v>
      </c>
      <c r="P6" s="115">
        <f t="shared" si="3"/>
        <v>0.85986433760263636</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118181.88460707176</v>
      </c>
      <c r="O7" s="114">
        <f t="shared" si="2"/>
        <v>2.8351895451926845E-2</v>
      </c>
      <c r="P7" s="115">
        <f t="shared" si="3"/>
        <v>0.83446185584153287</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121532.56504376314</v>
      </c>
      <c r="O8" s="114">
        <f t="shared" si="2"/>
        <v>2.8351895451926845E-2</v>
      </c>
      <c r="P8" s="115">
        <f t="shared" si="3"/>
        <v>0.80980982511253319</v>
      </c>
      <c r="Q8" s="116">
        <f t="shared" si="4"/>
        <v>1</v>
      </c>
      <c r="R8" s="31">
        <f>IF(M8=Year_Open_to_Traffic?,Calculations!$J$5,Calculations!R7+(Calculations!R7*Calculations!O8*Q8))</f>
        <v>3475990.191712108</v>
      </c>
      <c r="S8" s="46">
        <f t="shared" si="0"/>
        <v>1</v>
      </c>
      <c r="T8" s="31">
        <f t="shared" si="5"/>
        <v>3475.9901917121078</v>
      </c>
      <c r="U8" s="32">
        <f>T8/(1+Real_Discount_Rate)^(Calculations!M8-'Assumed Values'!$C$5)</f>
        <v>2651.8162743813264</v>
      </c>
    </row>
    <row r="9" spans="1:21" ht="15.75" x14ac:dyDescent="0.25">
      <c r="A9" s="40" t="s">
        <v>103</v>
      </c>
      <c r="B9" s="119">
        <f>(_2025_Peak_Period_Volume/'Inputs &amp; Outputs'!$C$27)^(1/(2025-2018))-1</f>
        <v>2.8351895451926845E-2</v>
      </c>
      <c r="D9" s="40" t="s">
        <v>104</v>
      </c>
      <c r="E9" s="120">
        <f>IF('Inputs &amp; Outputs'!$C$8='CRASH RATES'!$D$3, VLOOKUP('Inputs &amp; Outputs'!$C$7,'CRASH RATES'!$C$14:$J$21,3,FALSE), VLOOKUP('Inputs &amp; Outputs'!$C$7,'CRASH RATES'!$C$28:$J$35,3,FALSE))</f>
        <v>0.90708688014883054</v>
      </c>
      <c r="F9" s="86"/>
      <c r="L9" s="107"/>
      <c r="M9" s="11">
        <f t="shared" si="1"/>
        <v>2023</v>
      </c>
      <c r="N9" s="113">
        <f t="shared" si="6"/>
        <v>124978.24362188841</v>
      </c>
      <c r="O9" s="114">
        <f t="shared" si="2"/>
        <v>2.8351895451926845E-2</v>
      </c>
      <c r="P9" s="115">
        <f t="shared" si="3"/>
        <v>0.78588607526876419</v>
      </c>
      <c r="Q9" s="116">
        <f t="shared" si="4"/>
        <v>1</v>
      </c>
      <c r="R9" s="31">
        <f>IF(M9=Year_Open_to_Traffic?,Calculations!$J$5,Calculations!R8+(Calculations!R8*Calculations!O9*Q9))</f>
        <v>3574541.1022194526</v>
      </c>
      <c r="S9" s="46">
        <f t="shared" si="0"/>
        <v>1</v>
      </c>
      <c r="T9" s="31">
        <f t="shared" si="5"/>
        <v>3574.5411022194526</v>
      </c>
      <c r="U9" s="32">
        <f>T9/(1+Real_Discount_Rate)^(Calculations!M9-'Assumed Values'!$C$5)</f>
        <v>2548.5984038787883</v>
      </c>
    </row>
    <row r="10" spans="1:21" ht="15.75" x14ac:dyDescent="0.25">
      <c r="A10" s="40" t="s">
        <v>105</v>
      </c>
      <c r="B10" s="119">
        <f>(_2045_Peak_Period_Volume/_2025_Peak_Period_Volume)^(1/(2045-2025))-1</f>
        <v>8.5137973873619099E-3</v>
      </c>
      <c r="D10" s="40" t="s">
        <v>106</v>
      </c>
      <c r="E10" s="120">
        <f>IF('Inputs &amp; Outputs'!$C$8='CRASH RATES'!$D$3, VLOOKUP('Inputs &amp; Outputs'!$C$7,'CRASH RATES'!$C$14:$J$21,4,FALSE), VLOOKUP('Inputs &amp; Outputs'!$C$7,'CRASH RATES'!$C$28:$J$35,4,FALSE))</f>
        <v>3.6345604444319584</v>
      </c>
      <c r="F10" s="86"/>
      <c r="L10" s="107"/>
      <c r="M10" s="108">
        <f t="shared" si="1"/>
        <v>2024</v>
      </c>
      <c r="N10" s="113">
        <f t="shared" si="6"/>
        <v>128521.61371882164</v>
      </c>
      <c r="O10" s="114">
        <f t="shared" si="2"/>
        <v>2.8351895451926845E-2</v>
      </c>
      <c r="P10" s="115">
        <f t="shared" si="3"/>
        <v>0.76266909112335868</v>
      </c>
      <c r="Q10" s="116">
        <f t="shared" si="4"/>
        <v>1</v>
      </c>
      <c r="R10" s="31">
        <f>IF(M10=Year_Open_to_Traffic?,Calculations!$J$5,Calculations!R9+(Calculations!R9*Calculations!O10*Q10))</f>
        <v>3675886.1178381937</v>
      </c>
      <c r="S10" s="46">
        <f t="shared" si="0"/>
        <v>1</v>
      </c>
      <c r="T10" s="31">
        <f t="shared" si="5"/>
        <v>3675.8861178381935</v>
      </c>
      <c r="U10" s="32">
        <f>T10/(1+Real_Discount_Rate)^(Calculations!M10-'Assumed Values'!$C$5)</f>
        <v>2449.3981302565489</v>
      </c>
    </row>
    <row r="11" spans="1:21" ht="15.75" x14ac:dyDescent="0.25">
      <c r="A11" s="40" t="s">
        <v>107</v>
      </c>
      <c r="B11" s="119">
        <f>(_2045_Peak_Period_Volume/'Inputs &amp; Outputs'!$C$27)^(1/(2045-2018))-1</f>
        <v>1.3619959561901096E-2</v>
      </c>
      <c r="D11" s="40" t="s">
        <v>108</v>
      </c>
      <c r="E11" s="120">
        <f>IF('Inputs &amp; Outputs'!$C$8='CRASH RATES'!$D$3, VLOOKUP('Inputs &amp; Outputs'!$C$7,'CRASH RATES'!$C$14:$J$21,5,FALSE), VLOOKUP('Inputs &amp; Outputs'!$C$7,'CRASH RATES'!$C$28:$J$35,5,FALSE))</f>
        <v>19.334618979610692</v>
      </c>
      <c r="F11" s="86"/>
      <c r="L11" s="107"/>
      <c r="M11" s="11">
        <f t="shared" si="1"/>
        <v>2025</v>
      </c>
      <c r="N11" s="113">
        <f t="shared" si="6"/>
        <v>132165.44507429059</v>
      </c>
      <c r="O11" s="114">
        <f t="shared" si="2"/>
        <v>2.8351895451926845E-2</v>
      </c>
      <c r="P11" s="115">
        <f t="shared" si="3"/>
        <v>0.74013799310034523</v>
      </c>
      <c r="Q11" s="116">
        <f t="shared" si="4"/>
        <v>1</v>
      </c>
      <c r="R11" s="31">
        <f>IF(M11=Year_Open_to_Traffic?,Calculations!$J$5,Calculations!R10+(Calculations!R10*Calculations!O11*Q11))</f>
        <v>3780104.4567443314</v>
      </c>
      <c r="S11" s="46">
        <f t="shared" si="0"/>
        <v>1</v>
      </c>
      <c r="T11" s="31">
        <f t="shared" si="5"/>
        <v>3780.1044567443314</v>
      </c>
      <c r="U11" s="32">
        <f>T11/(1+Real_Discount_Rate)^(Calculations!M11-'Assumed Values'!$C$5)</f>
        <v>2354.0590747343249</v>
      </c>
    </row>
    <row r="12" spans="1:21" ht="15.75" x14ac:dyDescent="0.25">
      <c r="A12" s="40" t="s">
        <v>109</v>
      </c>
      <c r="B12" s="121">
        <f>'Inputs &amp; Outputs'!C27/_2018_Peak_Period_Capacity</f>
        <v>0.91301272984441306</v>
      </c>
      <c r="D12" s="40" t="s">
        <v>110</v>
      </c>
      <c r="E12" s="120">
        <f>IF('Inputs &amp; Outputs'!$C$8='CRASH RATES'!$D$3, VLOOKUP('Inputs &amp; Outputs'!$C$7,'CRASH RATES'!$C$14:$J$21,6,FALSE), VLOOKUP('Inputs &amp; Outputs'!$C$7,'CRASH RATES'!$C$28:$J$35,6,FALSE))</f>
        <v>53.611319786330533</v>
      </c>
      <c r="F12" s="86"/>
      <c r="L12" s="107"/>
      <c r="M12" s="108">
        <f t="shared" si="1"/>
        <v>2026</v>
      </c>
      <c r="N12" s="113">
        <f t="shared" si="6"/>
        <v>133290.6748952636</v>
      </c>
      <c r="O12" s="114">
        <f t="shared" ref="O12:O36" si="7">IFERROR(_2025_2045_Demand_Growth,_2018_2045_Demand_Growth)</f>
        <v>8.5137973873619099E-3</v>
      </c>
      <c r="P12" s="115">
        <f t="shared" ref="P12:P36" si="8">P11*(1+IFERROR(_2025_2040_V_C_Growth,_2018_2045_V_C_Growth))</f>
        <v>0.74643937801229021</v>
      </c>
      <c r="Q12" s="116">
        <f t="shared" si="4"/>
        <v>1</v>
      </c>
      <c r="R12" s="31">
        <f>IF(M12=Year_Open_to_Traffic?,Calculations!$J$5,Calculations!R11+(Calculations!R11*Calculations!O12*Q12))</f>
        <v>3812287.5001921165</v>
      </c>
      <c r="S12" s="46">
        <f t="shared" si="0"/>
        <v>1</v>
      </c>
      <c r="T12" s="31">
        <f t="shared" si="5"/>
        <v>3812.2875001921166</v>
      </c>
      <c r="U12" s="32">
        <f>T12/(1+Real_Discount_Rate)^(Calculations!M12-'Assumed Values'!$C$5)</f>
        <v>2218.7860343313027</v>
      </c>
    </row>
    <row r="13" spans="1:21" ht="15.75" x14ac:dyDescent="0.25">
      <c r="A13" s="40" t="s">
        <v>111</v>
      </c>
      <c r="B13" s="121">
        <f>_2025_Peak_Period_Volume/_2025_Peak_Period_Capacity</f>
        <v>0.740137993100345</v>
      </c>
      <c r="D13" s="40" t="s">
        <v>112</v>
      </c>
      <c r="E13" s="120">
        <f>IF('Inputs &amp; Outputs'!$C$8='CRASH RATES'!$D$3, VLOOKUP('Inputs &amp; Outputs'!$C$7,'CRASH RATES'!$C$14:$J$21,7,FALSE), VLOOKUP('Inputs &amp; Outputs'!$C$7,'CRASH RATES'!$C$28:$J$35,7,FALSE))</f>
        <v>404.81547842368047</v>
      </c>
      <c r="F13" s="86"/>
      <c r="L13" s="107"/>
      <c r="M13" s="11">
        <f t="shared" si="1"/>
        <v>2027</v>
      </c>
      <c r="N13" s="113">
        <f t="shared" si="6"/>
        <v>134425.48469494659</v>
      </c>
      <c r="O13" s="114">
        <f t="shared" si="7"/>
        <v>8.5137973873619099E-3</v>
      </c>
      <c r="P13" s="115">
        <f t="shared" si="8"/>
        <v>0.75279441163863525</v>
      </c>
      <c r="Q13" s="116">
        <f t="shared" si="4"/>
        <v>1</v>
      </c>
      <c r="R13" s="31">
        <f>IF(M13=Year_Open_to_Traffic?,Calculations!$J$5,Calculations!R12+(Calculations!R12*Calculations!O13*Q13))</f>
        <v>3844744.5435511246</v>
      </c>
      <c r="S13" s="46">
        <f t="shared" si="0"/>
        <v>1</v>
      </c>
      <c r="T13" s="31">
        <f t="shared" si="5"/>
        <v>3844.7445435511245</v>
      </c>
      <c r="U13" s="32">
        <f>T13/(1+Real_Discount_Rate)^(Calculations!M13-'Assumed Values'!$C$5)</f>
        <v>2091.2862888537452</v>
      </c>
    </row>
    <row r="14" spans="1:21" ht="15.75" x14ac:dyDescent="0.25">
      <c r="A14" s="40" t="s">
        <v>113</v>
      </c>
      <c r="B14" s="121">
        <f>_2045_Peak_Period_Volume/_2045_Peak_Period_Capacity</f>
        <v>0.87689901219224753</v>
      </c>
      <c r="D14" s="40" t="s">
        <v>114</v>
      </c>
      <c r="E14" s="120">
        <f>IF('Inputs &amp; Outputs'!$C$8='CRASH RATES'!$D$3, VLOOKUP('Inputs &amp; Outputs'!$C$7,'CRASH RATES'!$C$14:$J$21,8,FALSE), VLOOKUP('Inputs &amp; Outputs'!$C$7,'CRASH RATES'!$C$28:$J$35,8,FALSE))</f>
        <v>37.824280317438905</v>
      </c>
      <c r="F14" s="86"/>
      <c r="L14" s="107"/>
      <c r="M14" s="108">
        <f>M13+1</f>
        <v>2028</v>
      </c>
      <c r="N14" s="113">
        <f t="shared" si="6"/>
        <v>135569.95603533729</v>
      </c>
      <c r="O14" s="114">
        <f t="shared" si="7"/>
        <v>8.5137973873619099E-3</v>
      </c>
      <c r="P14" s="115">
        <f>P13*(1+IFERROR(_2025_2040_V_C_Growth,_2018_2045_V_C_Growth))</f>
        <v>0.75920355073366497</v>
      </c>
      <c r="Q14" s="116">
        <f t="shared" si="4"/>
        <v>1</v>
      </c>
      <c r="R14" s="31">
        <f>IF(M14=Year_Open_to_Traffic?,Calculations!$J$5,Calculations!R13+(Calculations!R13*Calculations!O14*Q14))</f>
        <v>3877477.9196010842</v>
      </c>
      <c r="S14" s="46">
        <f t="shared" si="0"/>
        <v>1</v>
      </c>
      <c r="T14" s="31">
        <f t="shared" si="5"/>
        <v>3877.4779196010841</v>
      </c>
      <c r="U14" s="32">
        <f>T14/(1+Real_Discount_Rate)^(Calculations!M14-'Assumed Values'!$C$5)</f>
        <v>1971.1131556972093</v>
      </c>
    </row>
    <row r="15" spans="1:21" ht="15.75" x14ac:dyDescent="0.25">
      <c r="A15" s="40" t="s">
        <v>115</v>
      </c>
      <c r="B15" s="119">
        <f>(B13/B12)^(1/(2025-2018))-1</f>
        <v>-2.9542429718538488E-2</v>
      </c>
      <c r="L15" s="107"/>
      <c r="M15" s="11">
        <f>M14+1</f>
        <v>2029</v>
      </c>
      <c r="N15" s="113">
        <f t="shared" si="6"/>
        <v>136724.17117283572</v>
      </c>
      <c r="O15" s="114">
        <f t="shared" si="7"/>
        <v>8.5137973873619099E-3</v>
      </c>
      <c r="P15" s="115">
        <f>P14*(1+IFERROR(_2025_2040_V_C_Growth,_2018_2045_V_C_Growth))</f>
        <v>0.7656672559403771</v>
      </c>
      <c r="Q15" s="116">
        <f t="shared" si="4"/>
        <v>1</v>
      </c>
      <c r="R15" s="31">
        <f>IF(M15=Year_Open_to_Traffic?,Calculations!$J$5,Calculations!R14+(Calculations!R14*Calculations!O15*Q15))</f>
        <v>3910489.9809825374</v>
      </c>
      <c r="S15" s="46">
        <f t="shared" si="0"/>
        <v>1</v>
      </c>
      <c r="T15" s="31">
        <f t="shared" si="5"/>
        <v>3910.4899809825374</v>
      </c>
      <c r="U15" s="32">
        <f>T15/(1+Real_Discount_Rate)^(Calculations!M15-'Assumed Values'!$C$5)</f>
        <v>1857.8456203106343</v>
      </c>
    </row>
    <row r="16" spans="1:21" ht="15.75" x14ac:dyDescent="0.25">
      <c r="A16" s="40" t="s">
        <v>116</v>
      </c>
      <c r="B16" s="119">
        <f>(B14/B13)^(1/(2045-2025))-1</f>
        <v>8.5137973873619099E-3</v>
      </c>
      <c r="D16" s="122" t="s">
        <v>117</v>
      </c>
      <c r="E16" s="58"/>
      <c r="L16" s="107"/>
      <c r="M16" s="108">
        <f t="shared" si="1"/>
        <v>2030</v>
      </c>
      <c r="N16" s="113">
        <f t="shared" si="6"/>
        <v>137888.21306415624</v>
      </c>
      <c r="O16" s="114">
        <f t="shared" si="7"/>
        <v>8.5137973873619099E-3</v>
      </c>
      <c r="P16" s="115">
        <f t="shared" si="8"/>
        <v>0.77218599182359082</v>
      </c>
      <c r="Q16" s="116">
        <f t="shared" si="4"/>
        <v>1</v>
      </c>
      <c r="R16" s="31">
        <f>IF(M16=Year_Open_to_Traffic?,Calculations!$J$5,Calculations!R15+(Calculations!R15*Calculations!O16*Q16))</f>
        <v>3943783.1003659316</v>
      </c>
      <c r="S16" s="46">
        <f t="shared" si="0"/>
        <v>1</v>
      </c>
      <c r="T16" s="31">
        <f t="shared" si="5"/>
        <v>3943.7831003659317</v>
      </c>
      <c r="U16" s="32">
        <f>T16/(1+Real_Discount_Rate)^(Calculations!M16-'Assumed Values'!$C$5)</f>
        <v>1751.0868612139786</v>
      </c>
    </row>
    <row r="17" spans="1:21" ht="15.75" x14ac:dyDescent="0.25">
      <c r="A17" s="40" t="s">
        <v>118</v>
      </c>
      <c r="B17" s="119">
        <f>(B14/B12)^(1/(2045-2018))-1</f>
        <v>-1.4936237677884989E-3</v>
      </c>
      <c r="D17" s="40" t="s">
        <v>119</v>
      </c>
      <c r="E17" s="123">
        <f>($E$6*Death_Rate)/100000000</f>
        <v>0.43280457699873731</v>
      </c>
      <c r="L17" s="107"/>
      <c r="M17" s="11">
        <f t="shared" si="1"/>
        <v>2031</v>
      </c>
      <c r="N17" s="113">
        <f t="shared" si="6"/>
        <v>139062.16537228986</v>
      </c>
      <c r="O17" s="114">
        <f t="shared" si="7"/>
        <v>8.5137973873619099E-3</v>
      </c>
      <c r="P17" s="115">
        <f t="shared" si="8"/>
        <v>0.77876022690333602</v>
      </c>
      <c r="Q17" s="116">
        <f t="shared" si="4"/>
        <v>1</v>
      </c>
      <c r="R17" s="31">
        <f>IF(M17=Year_Open_to_Traffic?,Calculations!$J$5,Calculations!R16+(Calculations!R16*Calculations!O17*Q17))</f>
        <v>3977359.670622149</v>
      </c>
      <c r="S17" s="46">
        <f t="shared" si="0"/>
        <v>1</v>
      </c>
      <c r="T17" s="31">
        <f t="shared" si="5"/>
        <v>3977.3596706221492</v>
      </c>
      <c r="U17" s="32">
        <f>T17/(1+Real_Discount_Rate)^(Calculations!M17-'Assumed Values'!$C$5)</f>
        <v>1650.4628597738561</v>
      </c>
    </row>
    <row r="18" spans="1:21" ht="15.75" x14ac:dyDescent="0.25">
      <c r="D18" s="40" t="s">
        <v>120</v>
      </c>
      <c r="E18" s="123">
        <f>($E$6*Incap_Injry_Rate)/100000000</f>
        <v>1.7341827229058995</v>
      </c>
      <c r="L18" s="107"/>
      <c r="M18" s="108">
        <f t="shared" si="1"/>
        <v>2032</v>
      </c>
      <c r="N18" s="113">
        <f t="shared" si="6"/>
        <v>140246.11247251736</v>
      </c>
      <c r="O18" s="114">
        <f t="shared" si="7"/>
        <v>8.5137973873619099E-3</v>
      </c>
      <c r="P18" s="115">
        <f t="shared" si="8"/>
        <v>0.78539043368852701</v>
      </c>
      <c r="Q18" s="116">
        <f t="shared" si="4"/>
        <v>1</v>
      </c>
      <c r="R18" s="31">
        <f>IF(M18=Year_Open_to_Traffic?,Calculations!$J$5,Calculations!R17+(Calculations!R17*Calculations!O18*Q18))</f>
        <v>4011222.1049944903</v>
      </c>
      <c r="S18" s="46">
        <f t="shared" si="0"/>
        <v>1</v>
      </c>
      <c r="T18" s="31">
        <f t="shared" si="5"/>
        <v>4011.2221049944901</v>
      </c>
      <c r="U18" s="32">
        <f>T18/(1+Real_Discount_Rate)^(Calculations!M18-'Assumed Values'!$C$5)</f>
        <v>1555.6210898666695</v>
      </c>
    </row>
    <row r="19" spans="1:21" ht="15.75" x14ac:dyDescent="0.25">
      <c r="D19" s="40" t="s">
        <v>121</v>
      </c>
      <c r="E19" s="123">
        <f>($E$6*Nonincap_Injry_Rate)/100000000</f>
        <v>9.2252592028771954</v>
      </c>
      <c r="L19" s="107"/>
      <c r="M19" s="11">
        <f t="shared" si="1"/>
        <v>2033</v>
      </c>
      <c r="N19" s="113">
        <f t="shared" si="6"/>
        <v>141440.13945847354</v>
      </c>
      <c r="O19" s="114">
        <f t="shared" si="7"/>
        <v>8.5137973873619099E-3</v>
      </c>
      <c r="P19" s="115">
        <f t="shared" si="8"/>
        <v>0.79207708871092342</v>
      </c>
      <c r="Q19" s="116">
        <f t="shared" si="4"/>
        <v>1</v>
      </c>
      <c r="R19" s="31">
        <f>IF(M19=Year_Open_to_Traffic?,Calculations!$J$5,Calculations!R18+(Calculations!R18*Calculations!O19*Q19))</f>
        <v>4045372.8372721206</v>
      </c>
      <c r="S19" s="46">
        <f t="shared" si="0"/>
        <v>1</v>
      </c>
      <c r="T19" s="31">
        <f t="shared" si="5"/>
        <v>4045.3728372721207</v>
      </c>
      <c r="U19" s="32">
        <f>T19/(1+Real_Discount_Rate)^(Calculations!M19-'Assumed Values'!$C$5)</f>
        <v>1466.2292828385994</v>
      </c>
    </row>
    <row r="20" spans="1:21" ht="15.75" x14ac:dyDescent="0.25">
      <c r="D20" s="40" t="s">
        <v>122</v>
      </c>
      <c r="E20" s="123">
        <f>($E$6*Poss_Injry_Rate/100000000)</f>
        <v>25.579936266589751</v>
      </c>
      <c r="L20" s="107"/>
      <c r="M20" s="108">
        <f t="shared" si="1"/>
        <v>2034</v>
      </c>
      <c r="N20" s="113">
        <f t="shared" si="6"/>
        <v>142644.3321482632</v>
      </c>
      <c r="O20" s="114">
        <f t="shared" si="7"/>
        <v>8.5137973873619099E-3</v>
      </c>
      <c r="P20" s="115">
        <f t="shared" si="8"/>
        <v>0.79882067255937972</v>
      </c>
      <c r="Q20" s="116">
        <f t="shared" si="4"/>
        <v>1</v>
      </c>
      <c r="R20" s="31">
        <f>IF(M20=Year_Open_to_Traffic?,Calculations!$J$5,Calculations!R19+(Calculations!R19*Calculations!O20*Q20))</f>
        <v>4079814.3219649927</v>
      </c>
      <c r="S20" s="46">
        <f t="shared" si="0"/>
        <v>1</v>
      </c>
      <c r="T20" s="31">
        <f t="shared" si="5"/>
        <v>4079.8143219649928</v>
      </c>
      <c r="U20" s="32">
        <f>T20/(1+Real_Discount_Rate)^(Calculations!M20-'Assumed Values'!$C$5)</f>
        <v>1381.9742634356114</v>
      </c>
    </row>
    <row r="21" spans="1:21" ht="15.75" x14ac:dyDescent="0.25">
      <c r="D21" s="40" t="s">
        <v>123</v>
      </c>
      <c r="E21" s="123">
        <f>($E$6*Non_Injry_Rate)/100000000</f>
        <v>193.15238235278579</v>
      </c>
      <c r="L21" s="107"/>
      <c r="M21" s="11">
        <f>M20+1</f>
        <v>2035</v>
      </c>
      <c r="N21" s="113">
        <f t="shared" si="6"/>
        <v>143858.77709062907</v>
      </c>
      <c r="O21" s="114">
        <f t="shared" si="7"/>
        <v>8.5137973873619099E-3</v>
      </c>
      <c r="P21" s="115">
        <f>P20*(1+IFERROR(_2025_2040_V_C_Growth,_2018_2045_V_C_Growth))</f>
        <v>0.80562166991438644</v>
      </c>
      <c r="Q21" s="116">
        <f t="shared" si="4"/>
        <v>1</v>
      </c>
      <c r="R21" s="31">
        <f>IF(M21=Year_Open_to_Traffic?,Calculations!$J$5,Calculations!R20+(Calculations!R20*Calculations!O21*Q21))</f>
        <v>4114549.0344802598</v>
      </c>
      <c r="S21" s="46">
        <f t="shared" si="0"/>
        <v>1</v>
      </c>
      <c r="T21" s="31">
        <f t="shared" si="5"/>
        <v>4114.5490344802602</v>
      </c>
      <c r="U21" s="32">
        <f>T21/(1+Real_Discount_Rate)^(Calculations!M21-'Assumed Values'!$C$5)</f>
        <v>1302.5608526252813</v>
      </c>
    </row>
    <row r="22" spans="1:21" ht="15.75" x14ac:dyDescent="0.25">
      <c r="D22" s="40" t="s">
        <v>124</v>
      </c>
      <c r="E22" s="123">
        <f>($E$6*Unkn_Injry_Rate)/100000000</f>
        <v>18.047357977865154</v>
      </c>
      <c r="L22" s="107"/>
      <c r="M22" s="108">
        <f>M21+1</f>
        <v>2036</v>
      </c>
      <c r="N22" s="113">
        <f t="shared" si="6"/>
        <v>145083.56157117235</v>
      </c>
      <c r="O22" s="114">
        <f t="shared" si="7"/>
        <v>8.5137973873619099E-3</v>
      </c>
      <c r="P22" s="115">
        <f t="shared" si="8"/>
        <v>0.81248056958290571</v>
      </c>
      <c r="Q22" s="116">
        <f t="shared" si="4"/>
        <v>1</v>
      </c>
      <c r="R22" s="31">
        <f>IF(M22=Year_Open_to_Traffic?,Calculations!$J$5,Calculations!R21+(Calculations!R21*Calculations!O22*Q22))</f>
        <v>4149579.4713001903</v>
      </c>
      <c r="S22" s="46">
        <f t="shared" si="0"/>
        <v>1</v>
      </c>
      <c r="T22" s="31">
        <f t="shared" si="5"/>
        <v>4149.5794713001906</v>
      </c>
      <c r="U22" s="32">
        <f>T22/(1+Real_Discount_Rate)^(Calculations!M22-'Assumed Values'!$C$5)</f>
        <v>1227.7108334665816</v>
      </c>
    </row>
    <row r="23" spans="1:21" ht="15.75" x14ac:dyDescent="0.25">
      <c r="L23" s="107"/>
      <c r="M23" s="11">
        <f t="shared" si="1"/>
        <v>2037</v>
      </c>
      <c r="N23" s="113">
        <f t="shared" si="6"/>
        <v>146318.77361862615</v>
      </c>
      <c r="O23" s="114">
        <f t="shared" si="7"/>
        <v>8.5137973873619099E-3</v>
      </c>
      <c r="P23" s="115">
        <f t="shared" si="8"/>
        <v>0.81939786453350294</v>
      </c>
      <c r="Q23" s="116">
        <f t="shared" si="4"/>
        <v>1</v>
      </c>
      <c r="R23" s="31">
        <f>IF(M23=Year_Open_to_Traffic?,Calculations!$J$5,Calculations!R22+(Calculations!R22*Calculations!O23*Q23))</f>
        <v>4184908.1501615965</v>
      </c>
      <c r="S23" s="46">
        <f t="shared" si="0"/>
        <v>1</v>
      </c>
      <c r="T23" s="31">
        <f t="shared" si="5"/>
        <v>4184.9081501615965</v>
      </c>
      <c r="U23" s="32">
        <f>T23/(1+Real_Discount_Rate)^(Calculations!M23-'Assumed Values'!$C$5)</f>
        <v>1157.1619764046591</v>
      </c>
    </row>
    <row r="24" spans="1:21" ht="15.75" x14ac:dyDescent="0.25">
      <c r="L24" s="107"/>
      <c r="M24" s="108">
        <f t="shared" si="1"/>
        <v>2038</v>
      </c>
      <c r="N24" s="113">
        <f t="shared" si="6"/>
        <v>147564.5020111824</v>
      </c>
      <c r="O24" s="114">
        <f t="shared" si="7"/>
        <v>8.5137973873619099E-3</v>
      </c>
      <c r="P24" s="115">
        <f t="shared" si="8"/>
        <v>0.82637405193177815</v>
      </c>
      <c r="Q24" s="116">
        <f t="shared" si="4"/>
        <v>1</v>
      </c>
      <c r="R24" s="31">
        <f>IF(M24=Year_Open_to_Traffic?,Calculations!$J$5,Calculations!R23+(Calculations!R23*Calculations!O24*Q24))</f>
        <v>4220537.6102367919</v>
      </c>
      <c r="S24" s="46">
        <f t="shared" si="0"/>
        <v>1</v>
      </c>
      <c r="T24" s="31">
        <f t="shared" si="5"/>
        <v>4220.5376102367918</v>
      </c>
      <c r="U24" s="32">
        <f>T24/(1+Real_Discount_Rate)^(Calculations!M24-'Assumed Values'!$C$5)</f>
        <v>1090.6671205758203</v>
      </c>
    </row>
    <row r="25" spans="1:21" ht="15.75" x14ac:dyDescent="0.25">
      <c r="A25" s="136" t="s">
        <v>125</v>
      </c>
      <c r="B25" s="136"/>
      <c r="D25" s="102" t="s">
        <v>119</v>
      </c>
      <c r="E25" s="102" t="s">
        <v>120</v>
      </c>
      <c r="F25" s="102" t="s">
        <v>121</v>
      </c>
      <c r="G25" s="102" t="s">
        <v>122</v>
      </c>
      <c r="H25" s="102" t="s">
        <v>123</v>
      </c>
      <c r="I25" s="102" t="s">
        <v>124</v>
      </c>
      <c r="J25" s="137" t="s">
        <v>126</v>
      </c>
      <c r="L25" s="107"/>
      <c r="M25" s="11">
        <f t="shared" si="1"/>
        <v>2039</v>
      </c>
      <c r="N25" s="113">
        <f t="shared" si="6"/>
        <v>148820.83628287257</v>
      </c>
      <c r="O25" s="114">
        <f t="shared" si="7"/>
        <v>8.5137973873619099E-3</v>
      </c>
      <c r="P25" s="115">
        <f t="shared" si="8"/>
        <v>0.83340963317609862</v>
      </c>
      <c r="Q25" s="116">
        <f t="shared" si="4"/>
        <v>1</v>
      </c>
      <c r="R25" s="31">
        <f>IF(M25=Year_Open_to_Traffic?,Calculations!$J$5,Calculations!R24+(Calculations!R24*Calculations!O25*Q25))</f>
        <v>4256470.4123160886</v>
      </c>
      <c r="S25" s="46">
        <f t="shared" si="0"/>
        <v>1</v>
      </c>
      <c r="T25" s="31">
        <f t="shared" si="5"/>
        <v>4256.4704123160882</v>
      </c>
      <c r="U25" s="32">
        <f>T25/(1+Real_Discount_Rate)^(Calculations!M25-'Assumed Values'!$C$5)</f>
        <v>1027.9933079041682</v>
      </c>
    </row>
    <row r="26" spans="1:21" ht="15.75" x14ac:dyDescent="0.25">
      <c r="A26" s="136"/>
      <c r="B26" s="136"/>
      <c r="D26" s="124">
        <f>Calculations!E17</f>
        <v>0.43280457699873731</v>
      </c>
      <c r="E26" s="124">
        <f>Calculations!E18</f>
        <v>1.7341827229058995</v>
      </c>
      <c r="F26" s="124">
        <f>Calculations!E19</f>
        <v>9.2252592028771954</v>
      </c>
      <c r="G26" s="124">
        <f>Calculations!E20</f>
        <v>25.579936266589751</v>
      </c>
      <c r="H26" s="124">
        <f>Calculations!E21</f>
        <v>193.15238235278579</v>
      </c>
      <c r="I26" s="124">
        <f>Calculations!E22</f>
        <v>18.047357977865154</v>
      </c>
      <c r="J26" s="137"/>
      <c r="L26" s="107"/>
      <c r="M26" s="108">
        <f t="shared" si="1"/>
        <v>2040</v>
      </c>
      <c r="N26" s="113">
        <f t="shared" si="6"/>
        <v>150087.86673000269</v>
      </c>
      <c r="O26" s="114">
        <f t="shared" si="7"/>
        <v>8.5137973873619099E-3</v>
      </c>
      <c r="P26" s="115">
        <f t="shared" si="8"/>
        <v>0.84050511393363558</v>
      </c>
      <c r="Q26" s="116">
        <f t="shared" si="4"/>
        <v>1</v>
      </c>
      <c r="R26" s="31">
        <f>IF(M26=Year_Open_to_Traffic?,Calculations!$J$5,Calculations!R25+(Calculations!R25*Calculations!O26*Q26))</f>
        <v>4292709.1389918486</v>
      </c>
      <c r="S26" s="46">
        <f t="shared" si="0"/>
        <v>1</v>
      </c>
      <c r="T26" s="31">
        <f t="shared" si="5"/>
        <v>4292.7091389918487</v>
      </c>
      <c r="U26" s="32">
        <f>T26/(1+Real_Discount_Rate)^(Calculations!M26-'Assumed Values'!$C$5)</f>
        <v>968.92096695628823</v>
      </c>
    </row>
    <row r="27" spans="1:21" ht="15.75" x14ac:dyDescent="0.25">
      <c r="A27" s="39" t="s">
        <v>127</v>
      </c>
      <c r="B27" s="40" t="s">
        <v>128</v>
      </c>
      <c r="D27" s="125">
        <f>D$26*'Value of Statistical Life'!D17*Appropriate_Crash_Reduction_Factor</f>
        <v>0</v>
      </c>
      <c r="E27" s="125">
        <f>E$26*'Value of Statistical Life'!E17*Appropriate_Crash_Reduction_Factor</f>
        <v>1.7881158055882727E-2</v>
      </c>
      <c r="F27" s="125">
        <f>F$26*'Value of Statistical Life'!F17*Appropriate_Crash_Reduction_Factor</f>
        <v>0.23100971569924786</v>
      </c>
      <c r="G27" s="125">
        <f>G$26*'Value of Statistical Life'!G17*Appropriate_Crash_Reduction_Factor</f>
        <v>1.7985508988401919</v>
      </c>
      <c r="H27" s="125">
        <f>H$26*'Value of Statistical Life'!H17*Appropriate_Crash_Reduction_Factor</f>
        <v>53.61948764589804</v>
      </c>
      <c r="I27" s="125">
        <f>I$26*'Value of Statistical Life'!I17*Appropriate_Crash_Reduction_Factor</f>
        <v>2.3647092211237153</v>
      </c>
      <c r="J27" s="125">
        <f t="shared" ref="J27:J33" si="9">SUM(D27:I27)</f>
        <v>58.031638639617078</v>
      </c>
      <c r="K27" s="70"/>
      <c r="L27" s="107"/>
      <c r="M27" s="11">
        <f t="shared" si="1"/>
        <v>2041</v>
      </c>
      <c r="N27" s="113">
        <f t="shared" si="6"/>
        <v>151365.68441764329</v>
      </c>
      <c r="O27" s="114">
        <f t="shared" si="7"/>
        <v>8.5137973873619099E-3</v>
      </c>
      <c r="P27" s="115">
        <f t="shared" si="8"/>
        <v>0.84766100417670809</v>
      </c>
      <c r="Q27" s="116">
        <f t="shared" si="4"/>
        <v>1</v>
      </c>
      <c r="R27" s="31">
        <f>IF(M27=Year_Open_to_Traffic?,Calculations!$J$5,Calculations!R26+(Calculations!R26*Calculations!O27*Q27))</f>
        <v>4329256.3948441017</v>
      </c>
      <c r="S27" s="46">
        <f t="shared" si="0"/>
        <v>1</v>
      </c>
      <c r="T27" s="31">
        <f t="shared" si="5"/>
        <v>4329.256394844102</v>
      </c>
      <c r="U27" s="32">
        <f>T27/(1+Real_Discount_Rate)^(Calculations!M27-'Assumed Values'!$C$5)</f>
        <v>913.24314369469232</v>
      </c>
    </row>
    <row r="28" spans="1:21" ht="15.75" x14ac:dyDescent="0.25">
      <c r="A28" s="39" t="s">
        <v>129</v>
      </c>
      <c r="B28" s="40" t="s">
        <v>130</v>
      </c>
      <c r="D28" s="125">
        <f>D$26*'Value of Statistical Life'!D18*Appropriate_Crash_Reduction_Factor</f>
        <v>0</v>
      </c>
      <c r="E28" s="125">
        <f>E$26*'Value of Statistical Life'!E18*Appropriate_Crash_Reduction_Factor</f>
        <v>0.28847609340722769</v>
      </c>
      <c r="F28" s="125">
        <f>F$26*'Value of Statistical Life'!F18*Appropriate_Crash_Reduction_Factor</f>
        <v>2.1266897787800767</v>
      </c>
      <c r="G28" s="125">
        <f>G$26*'Value of Statistical Life'!G18*Appropriate_Crash_Reduction_Factor</f>
        <v>5.2909028575088906</v>
      </c>
      <c r="H28" s="125">
        <f>H$26*'Value of Statistical Life'!H18*Appropriate_Crash_Reduction_Factor</f>
        <v>4.2051205162024994</v>
      </c>
      <c r="I28" s="125">
        <f>I$26*'Value of Statistical Life'!I18*Appropriate_Crash_Reduction_Factor</f>
        <v>2.2598360239143407</v>
      </c>
      <c r="J28" s="125">
        <f t="shared" si="9"/>
        <v>14.171025269813034</v>
      </c>
      <c r="K28" s="70"/>
      <c r="L28" s="107"/>
      <c r="M28" s="108">
        <f t="shared" si="1"/>
        <v>2042</v>
      </c>
      <c r="N28" s="113">
        <f t="shared" si="6"/>
        <v>152654.38118617446</v>
      </c>
      <c r="O28" s="114">
        <f t="shared" si="7"/>
        <v>8.5137973873619099E-3</v>
      </c>
      <c r="P28" s="115">
        <f t="shared" si="8"/>
        <v>0.85487781821943631</v>
      </c>
      <c r="Q28" s="116">
        <f t="shared" si="4"/>
        <v>1</v>
      </c>
      <c r="R28" s="31">
        <f>IF(M28=Year_Open_to_Traffic?,Calculations!$J$5,Calculations!R27+(Calculations!R27*Calculations!O28*Q28))</f>
        <v>4366114.8066277457</v>
      </c>
      <c r="S28" s="46">
        <f t="shared" si="0"/>
        <v>0</v>
      </c>
      <c r="T28" s="31">
        <f t="shared" si="5"/>
        <v>0</v>
      </c>
      <c r="U28" s="32">
        <f>T28/(1+Real_Discount_Rate)^(Calculations!M28-'Assumed Values'!$C$5)</f>
        <v>0</v>
      </c>
    </row>
    <row r="29" spans="1:21" ht="15.75" x14ac:dyDescent="0.25">
      <c r="A29" s="39" t="s">
        <v>131</v>
      </c>
      <c r="B29" s="40" t="s">
        <v>132</v>
      </c>
      <c r="D29" s="125">
        <f>D$26*'Value of Statistical Life'!D19*Appropriate_Crash_Reduction_Factor</f>
        <v>0</v>
      </c>
      <c r="E29" s="125">
        <f>E$26*'Value of Statistical Life'!E19*Appropriate_Crash_Reduction_Factor</f>
        <v>0.10877487711154962</v>
      </c>
      <c r="F29" s="125">
        <f>F$26*'Value of Statistical Life'!F19*Appropriate_Crash_Reduction_Factor</f>
        <v>0.30161062437886704</v>
      </c>
      <c r="G29" s="125">
        <f>G$26*'Value of Statistical Life'!G19*Appropriate_Crash_Reduction_Factor</f>
        <v>0.49044411803932525</v>
      </c>
      <c r="H29" s="125">
        <f>H$26*'Value of Statistical Life'!H19*Appropriate_Crash_Reduction_Factor</f>
        <v>0.11473251511755475</v>
      </c>
      <c r="I29" s="125">
        <f>I$26*'Value of Statistical Life'!I19*Appropriate_Crash_Reduction_Factor</f>
        <v>0.48034847993885887</v>
      </c>
      <c r="J29" s="125">
        <f t="shared" si="9"/>
        <v>1.4959106145861554</v>
      </c>
      <c r="K29" s="70"/>
      <c r="L29" s="107"/>
      <c r="M29" s="11">
        <f t="shared" si="1"/>
        <v>2043</v>
      </c>
      <c r="N29" s="113">
        <f t="shared" si="6"/>
        <v>153954.04965788667</v>
      </c>
      <c r="O29" s="114">
        <f t="shared" si="7"/>
        <v>8.5137973873619099E-3</v>
      </c>
      <c r="P29" s="115">
        <f t="shared" si="8"/>
        <v>0.86215607475470657</v>
      </c>
      <c r="Q29" s="116">
        <f t="shared" si="4"/>
        <v>1</v>
      </c>
      <c r="R29" s="31">
        <f>IF(M29=Year_Open_to_Traffic?,Calculations!$J$5,Calculations!R28+(Calculations!R28*Calculations!O29*Q29))</f>
        <v>4403287.0234613353</v>
      </c>
      <c r="S29" s="46">
        <f t="shared" si="0"/>
        <v>0</v>
      </c>
      <c r="T29" s="31">
        <f t="shared" si="5"/>
        <v>0</v>
      </c>
      <c r="U29" s="32">
        <f>T29/(1+Real_Discount_Rate)^(Calculations!M29-'Assumed Values'!$C$5)</f>
        <v>0</v>
      </c>
    </row>
    <row r="30" spans="1:21" ht="15.75" x14ac:dyDescent="0.25">
      <c r="A30" s="39" t="s">
        <v>133</v>
      </c>
      <c r="B30" s="40" t="s">
        <v>134</v>
      </c>
      <c r="D30" s="125">
        <f>D$26*'Value of Statistical Life'!D20*Appropriate_Crash_Reduction_Factor</f>
        <v>0</v>
      </c>
      <c r="E30" s="125">
        <f>E$26*'Value of Statistical Life'!E20*Appropriate_Crash_Reduction_Factor</f>
        <v>7.5109187911777398E-2</v>
      </c>
      <c r="F30" s="125">
        <f>F$26*'Value of Statistical Life'!F20*Appropriate_Crash_Reduction_Factor</f>
        <v>8.8313406349143378E-2</v>
      </c>
      <c r="G30" s="125">
        <f>G$26*'Value of Statistical Life'!G20*Appropriate_Crash_Reduction_Factor</f>
        <v>8.2188335224552878E-2</v>
      </c>
      <c r="H30" s="125">
        <f>H$26*'Value of Statistical Life'!H20*Appropriate_Crash_Reduction_Factor</f>
        <v>4.635657176466859E-3</v>
      </c>
      <c r="I30" s="125">
        <f>I$26*'Value of Statistical Life'!I20*Appropriate_Crash_Reduction_Factor</f>
        <v>0.26080237013812929</v>
      </c>
      <c r="J30" s="125">
        <f t="shared" si="9"/>
        <v>0.51104895680006979</v>
      </c>
      <c r="K30" s="70"/>
      <c r="L30" s="107"/>
      <c r="M30" s="11">
        <f t="shared" si="1"/>
        <v>2044</v>
      </c>
      <c r="N30" s="113">
        <f t="shared" si="6"/>
        <v>155264.78324363776</v>
      </c>
      <c r="O30" s="114">
        <f t="shared" si="7"/>
        <v>8.5137973873619099E-3</v>
      </c>
      <c r="P30" s="115">
        <f t="shared" si="8"/>
        <v>0.86949629689145136</v>
      </c>
      <c r="Q30" s="116">
        <f t="shared" si="4"/>
        <v>1</v>
      </c>
      <c r="R30" s="31">
        <f>IF(M30=Year_Open_to_Traffic?,Calculations!$J$5,Calculations!R29+(Calculations!R29*Calculations!O30*Q30))</f>
        <v>4440775.7170174848</v>
      </c>
      <c r="S30" s="46">
        <f t="shared" si="0"/>
        <v>0</v>
      </c>
      <c r="T30" s="31">
        <f t="shared" si="5"/>
        <v>0</v>
      </c>
      <c r="U30" s="32">
        <f>T30/(1+Real_Discount_Rate)^(Calculations!M30-'Assumed Values'!$C$5)</f>
        <v>0</v>
      </c>
    </row>
    <row r="31" spans="1:21" ht="15.75" x14ac:dyDescent="0.25">
      <c r="A31" s="39" t="s">
        <v>135</v>
      </c>
      <c r="B31" s="40" t="s">
        <v>136</v>
      </c>
      <c r="D31" s="125">
        <f>D$26*'Value of Statistical Life'!D21*Appropriate_Crash_Reduction_Factor</f>
        <v>0</v>
      </c>
      <c r="E31" s="125">
        <f>E$26*'Value of Statistical Life'!E21*Appropriate_Crash_Reduction_Factor</f>
        <v>2.0737357000508744E-2</v>
      </c>
      <c r="F31" s="125">
        <f>F$26*'Value of Statistical Life'!F21*Appropriate_Crash_Reduction_Factor</f>
        <v>1.7158982117351583E-2</v>
      </c>
      <c r="G31" s="125">
        <f>G$26*'Value of Statistical Life'!G21*Appropriate_Crash_Reduction_Factor</f>
        <v>1.0897052849567235E-2</v>
      </c>
      <c r="H31" s="125">
        <f>H$26*'Value of Statistical Life'!H21*Appropriate_Crash_Reduction_Factor</f>
        <v>0</v>
      </c>
      <c r="I31" s="125">
        <f>I$26*'Value of Statistical Life'!I21*Appropriate_Crash_Reduction_Factor</f>
        <v>3.3405659617028398E-2</v>
      </c>
      <c r="J31" s="125">
        <f t="shared" si="9"/>
        <v>8.2199051584455951E-2</v>
      </c>
      <c r="K31" s="70"/>
      <c r="L31" s="107"/>
      <c r="M31" s="11">
        <f t="shared" si="1"/>
        <v>2045</v>
      </c>
      <c r="N31" s="113">
        <f t="shared" si="6"/>
        <v>156586.67614956677</v>
      </c>
      <c r="O31" s="114">
        <f t="shared" si="7"/>
        <v>8.5137973873619099E-3</v>
      </c>
      <c r="P31" s="115">
        <f t="shared" si="8"/>
        <v>0.87689901219224664</v>
      </c>
      <c r="Q31" s="116">
        <f t="shared" si="4"/>
        <v>1</v>
      </c>
      <c r="R31" s="31">
        <f>IF(M31=Year_Open_to_Traffic?,Calculations!$J$5,Calculations!R30+(Calculations!R30*Calculations!O31*Q31))</f>
        <v>4478583.5817148881</v>
      </c>
      <c r="S31" s="46">
        <f t="shared" si="0"/>
        <v>0</v>
      </c>
      <c r="T31" s="31">
        <f t="shared" si="5"/>
        <v>0</v>
      </c>
      <c r="U31" s="32">
        <f>T31/(1+Real_Discount_Rate)^(Calculations!M31-'Assumed Values'!$C$5)</f>
        <v>0</v>
      </c>
    </row>
    <row r="32" spans="1:21" ht="15.75" x14ac:dyDescent="0.25">
      <c r="A32" s="39" t="s">
        <v>137</v>
      </c>
      <c r="B32" s="40" t="s">
        <v>138</v>
      </c>
      <c r="D32" s="125">
        <f>D$26*'Value of Statistical Life'!D22*Appropriate_Crash_Reduction_Factor</f>
        <v>0</v>
      </c>
      <c r="E32" s="125">
        <f>E$26*'Value of Statistical Life'!E22*Appropriate_Crash_Reduction_Factor</f>
        <v>9.2761433848236562E-3</v>
      </c>
      <c r="F32" s="125">
        <f>F$26*'Value of Statistical Life'!F22*Appropriate_Crash_Reduction_Factor</f>
        <v>2.7952535384717903E-3</v>
      </c>
      <c r="G32" s="125">
        <f>G$26*'Value of Statistical Life'!G22*Appropriate_Crash_Reduction_Factor</f>
        <v>9.9761751439700016E-4</v>
      </c>
      <c r="H32" s="125">
        <f>H$26*'Value of Statistical Life'!H22*Appropriate_Crash_Reduction_Factor</f>
        <v>1.7383714411750722E-3</v>
      </c>
      <c r="I32" s="125">
        <f>I$26*'Value of Statistical Life'!I22*Appropriate_Crash_Reduction_Factor</f>
        <v>1.5105638627473132E-2</v>
      </c>
      <c r="J32" s="125">
        <f t="shared" si="9"/>
        <v>2.9913024506340653E-2</v>
      </c>
      <c r="K32" s="70"/>
      <c r="L32" s="107"/>
      <c r="M32" s="11">
        <f t="shared" si="1"/>
        <v>2046</v>
      </c>
      <c r="N32" s="113">
        <f t="shared" si="6"/>
        <v>157919.82338386466</v>
      </c>
      <c r="O32" s="114">
        <f t="shared" si="7"/>
        <v>8.5137973873619099E-3</v>
      </c>
      <c r="P32" s="115">
        <f t="shared" si="8"/>
        <v>0.88436475271122927</v>
      </c>
      <c r="Q32" s="116">
        <f t="shared" si="4"/>
        <v>1</v>
      </c>
      <c r="R32" s="31">
        <f>IF(M32=Year_Open_to_Traffic?,Calculations!$J$5,Calculations!R31+(Calculations!R31*Calculations!O32*Q32))</f>
        <v>4516713.3349119741</v>
      </c>
      <c r="S32" s="46">
        <f t="shared" si="0"/>
        <v>0</v>
      </c>
      <c r="T32" s="31">
        <f t="shared" si="5"/>
        <v>0</v>
      </c>
      <c r="U32" s="32">
        <f>T32/(1+Real_Discount_Rate)^(Calculations!M32-'Assumed Values'!$C$5)</f>
        <v>0</v>
      </c>
    </row>
    <row r="33" spans="1:21" ht="15.75" x14ac:dyDescent="0.25">
      <c r="A33" s="39" t="s">
        <v>139</v>
      </c>
      <c r="B33" s="40" t="s">
        <v>140</v>
      </c>
      <c r="D33" s="125">
        <f>D$26*'Value of Statistical Life'!D23*Appropriate_Crash_Reduction_Factor</f>
        <v>0.12984137309962118</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0.12984137309962118</v>
      </c>
      <c r="K33" s="70"/>
      <c r="L33" s="107"/>
      <c r="M33" s="11">
        <f t="shared" si="1"/>
        <v>2047</v>
      </c>
      <c r="N33" s="113">
        <f t="shared" si="6"/>
        <v>159264.32076360285</v>
      </c>
      <c r="O33" s="114">
        <f t="shared" si="7"/>
        <v>8.5137973873619099E-3</v>
      </c>
      <c r="P33" s="115">
        <f t="shared" si="8"/>
        <v>0.8918940550323371</v>
      </c>
      <c r="Q33" s="116">
        <f t="shared" si="4"/>
        <v>1</v>
      </c>
      <c r="R33" s="31">
        <f>IF(M33=Year_Open_to_Traffic?,Calculations!$J$5,Calculations!R32+(Calculations!R32*Calculations!O33*Q33))</f>
        <v>4555167.71710221</v>
      </c>
      <c r="S33" s="46">
        <f t="shared" si="0"/>
        <v>0</v>
      </c>
      <c r="T33" s="31">
        <f t="shared" si="5"/>
        <v>0</v>
      </c>
      <c r="U33" s="32">
        <f>T33/(1+Real_Discount_Rate)^(Calculations!M33-'Assumed Values'!$C$5)</f>
        <v>0</v>
      </c>
    </row>
    <row r="34" spans="1:21" ht="15.75" x14ac:dyDescent="0.25">
      <c r="J34" s="126"/>
      <c r="L34" s="107"/>
      <c r="M34" s="11">
        <f t="shared" si="1"/>
        <v>2048</v>
      </c>
      <c r="N34" s="113">
        <f t="shared" si="6"/>
        <v>160620.26492161999</v>
      </c>
      <c r="O34" s="114">
        <f t="shared" si="7"/>
        <v>8.5137973873619099E-3</v>
      </c>
      <c r="P34" s="115">
        <f t="shared" si="8"/>
        <v>0.89948746030787508</v>
      </c>
      <c r="Q34" s="116">
        <f t="shared" si="4"/>
        <v>1</v>
      </c>
      <c r="R34" s="31">
        <f>IF(M34=Year_Open_to_Traffic?,Calculations!$J$5,Calculations!R33+(Calculations!R33*Calculations!O34*Q34))</f>
        <v>4593949.4921110701</v>
      </c>
      <c r="S34" s="46">
        <f t="shared" si="0"/>
        <v>0</v>
      </c>
      <c r="T34" s="31">
        <f t="shared" si="5"/>
        <v>0</v>
      </c>
      <c r="U34" s="32">
        <f>T34/(1+Real_Discount_Rate)^(Calculations!M34-'Assumed Values'!$C$5)</f>
        <v>0</v>
      </c>
    </row>
    <row r="35" spans="1:21" ht="15.75" x14ac:dyDescent="0.25">
      <c r="G35" s="42"/>
      <c r="H35" s="42"/>
      <c r="L35" s="107"/>
      <c r="M35" s="11">
        <f t="shared" si="1"/>
        <v>2049</v>
      </c>
      <c r="N35" s="113">
        <f t="shared" si="6"/>
        <v>161987.75331346705</v>
      </c>
      <c r="O35" s="114">
        <f t="shared" si="7"/>
        <v>8.5137973873619099E-3</v>
      </c>
      <c r="P35" s="115">
        <f t="shared" si="8"/>
        <v>0.90714551429740908</v>
      </c>
      <c r="Q35" s="116">
        <f t="shared" si="4"/>
        <v>1</v>
      </c>
      <c r="R35" s="31">
        <f>IF(M35=Year_Open_to_Traffic?,Calculations!$J$5,Calculations!R34+(Calculations!R34*Calculations!O35*Q35))</f>
        <v>4633061.4472946776</v>
      </c>
      <c r="S35" s="46">
        <f t="shared" si="0"/>
        <v>0</v>
      </c>
      <c r="T35" s="31">
        <f t="shared" si="5"/>
        <v>0</v>
      </c>
      <c r="U35" s="32">
        <f>T35/(1+Real_Discount_Rate)^(Calculations!M35-'Assumed Values'!$C$5)</f>
        <v>0</v>
      </c>
    </row>
    <row r="36" spans="1:21" ht="15.75" x14ac:dyDescent="0.25">
      <c r="G36" s="42"/>
      <c r="H36" s="42"/>
      <c r="L36" s="107"/>
      <c r="M36" s="11">
        <f t="shared" si="1"/>
        <v>2050</v>
      </c>
      <c r="N36" s="113">
        <f t="shared" si="6"/>
        <v>163366.88422441189</v>
      </c>
      <c r="O36" s="114">
        <f t="shared" si="7"/>
        <v>8.5137973873619099E-3</v>
      </c>
      <c r="P36" s="115">
        <f t="shared" si="8"/>
        <v>0.91486876740699141</v>
      </c>
      <c r="Q36" s="116">
        <f t="shared" si="4"/>
        <v>1</v>
      </c>
      <c r="R36" s="31">
        <f>IF(M36=Year_Open_to_Traffic?,Calculations!$J$5,Calculations!R35+(Calculations!R35*Calculations!O36*Q36))</f>
        <v>4672506.3937401418</v>
      </c>
      <c r="S36" s="46">
        <f t="shared" si="0"/>
        <v>0</v>
      </c>
      <c r="T36" s="31">
        <f t="shared" si="5"/>
        <v>0</v>
      </c>
      <c r="U36" s="32">
        <f>T36/(1+Real_Discount_Rate)^(Calculations!M36-'Assumed Values'!$C$5)</f>
        <v>0</v>
      </c>
    </row>
    <row r="37" spans="1:21" x14ac:dyDescent="0.25">
      <c r="M37" s="40"/>
      <c r="N37" s="40"/>
      <c r="O37" s="119"/>
      <c r="P37" s="121"/>
      <c r="Q37" s="40"/>
      <c r="R37" s="40"/>
      <c r="S37" s="40"/>
      <c r="T37" s="40"/>
      <c r="U37" s="32">
        <f>SUM(U4:U36)</f>
        <v>33636.535541200079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40" t="s">
        <v>147</v>
      </c>
      <c r="C12" s="141"/>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161</v>
      </c>
      <c r="D3" t="s">
        <v>53</v>
      </c>
      <c r="G3" s="40" t="s">
        <v>162</v>
      </c>
      <c r="H3" s="128" t="s">
        <v>163</v>
      </c>
      <c r="Q3" s="87"/>
      <c r="R3" s="86"/>
      <c r="S3" s="86"/>
      <c r="T3" s="86"/>
      <c r="U3" s="86"/>
      <c r="V3" s="86"/>
      <c r="W3" s="86"/>
      <c r="X3" s="86"/>
    </row>
    <row r="4" spans="3:24" x14ac:dyDescent="0.25">
      <c r="C4" t="s">
        <v>164</v>
      </c>
      <c r="D4" t="s">
        <v>165</v>
      </c>
      <c r="G4" s="40" t="s">
        <v>166</v>
      </c>
      <c r="H4" s="128" t="s">
        <v>167</v>
      </c>
      <c r="Q4" s="87"/>
      <c r="R4" s="86"/>
      <c r="S4" s="86"/>
      <c r="T4" s="86"/>
      <c r="U4" s="86"/>
      <c r="V4" s="86"/>
      <c r="W4" s="86"/>
      <c r="X4" s="86"/>
    </row>
    <row r="5" spans="3:24" x14ac:dyDescent="0.25">
      <c r="C5" t="s">
        <v>168</v>
      </c>
      <c r="G5" s="40" t="s">
        <v>169</v>
      </c>
      <c r="H5" s="128" t="s">
        <v>170</v>
      </c>
      <c r="Q5" s="87"/>
      <c r="R5" s="86"/>
      <c r="S5" s="86"/>
      <c r="T5" s="86"/>
      <c r="U5" s="86"/>
      <c r="V5" s="86"/>
      <c r="W5" s="86"/>
      <c r="X5" s="86"/>
    </row>
    <row r="6" spans="3:24" x14ac:dyDescent="0.25">
      <c r="C6" t="s">
        <v>171</v>
      </c>
      <c r="G6" s="40" t="s">
        <v>172</v>
      </c>
      <c r="H6" s="128" t="s">
        <v>173</v>
      </c>
      <c r="Q6" s="87"/>
      <c r="R6" s="86"/>
      <c r="S6" s="86"/>
      <c r="T6" s="86"/>
      <c r="U6" s="86"/>
      <c r="V6" s="86"/>
      <c r="W6" s="86"/>
      <c r="X6" s="86"/>
    </row>
    <row r="7" spans="3:24" x14ac:dyDescent="0.25">
      <c r="C7" t="s">
        <v>50</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2"/>
      <c r="T12" s="142"/>
      <c r="U12" s="142"/>
      <c r="V12" s="142"/>
      <c r="W12" s="142"/>
      <c r="X12" s="142"/>
    </row>
    <row r="13" spans="3:24" x14ac:dyDescent="0.25">
      <c r="C13" s="55" t="s">
        <v>49</v>
      </c>
      <c r="D13" s="55" t="s">
        <v>181</v>
      </c>
      <c r="E13" s="55" t="s">
        <v>159</v>
      </c>
      <c r="F13" s="55" t="s">
        <v>162</v>
      </c>
      <c r="G13" s="55" t="s">
        <v>166</v>
      </c>
      <c r="H13" s="55" t="s">
        <v>169</v>
      </c>
      <c r="I13" s="55" t="s">
        <v>172</v>
      </c>
      <c r="J13" s="55" t="s">
        <v>174</v>
      </c>
      <c r="M13" s="40" t="s">
        <v>182</v>
      </c>
      <c r="N13" s="40" t="s">
        <v>183</v>
      </c>
      <c r="O13" s="40" t="s">
        <v>184</v>
      </c>
      <c r="Q13" s="63" t="s">
        <v>49</v>
      </c>
      <c r="R13" s="63" t="s">
        <v>185</v>
      </c>
      <c r="S13" s="63" t="s">
        <v>159</v>
      </c>
      <c r="T13" s="63" t="s">
        <v>162</v>
      </c>
      <c r="U13" s="63" t="s">
        <v>166</v>
      </c>
      <c r="V13" s="63" t="s">
        <v>169</v>
      </c>
      <c r="W13" s="63" t="s">
        <v>172</v>
      </c>
      <c r="X13" s="63" t="s">
        <v>174</v>
      </c>
    </row>
    <row r="14" spans="3:24" x14ac:dyDescent="0.25">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x14ac:dyDescent="0.25">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x14ac:dyDescent="0.25">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2"/>
      <c r="T26" s="142"/>
      <c r="U26" s="142"/>
      <c r="V26" s="142"/>
      <c r="W26" s="142"/>
      <c r="X26" s="142"/>
    </row>
    <row r="27" spans="3:24" x14ac:dyDescent="0.25">
      <c r="C27" s="55" t="s">
        <v>49</v>
      </c>
      <c r="D27" s="55" t="s">
        <v>181</v>
      </c>
      <c r="E27" s="55" t="s">
        <v>159</v>
      </c>
      <c r="F27" s="55" t="s">
        <v>162</v>
      </c>
      <c r="G27" s="55" t="s">
        <v>166</v>
      </c>
      <c r="H27" s="55" t="s">
        <v>169</v>
      </c>
      <c r="I27" s="55" t="s">
        <v>172</v>
      </c>
      <c r="J27" s="55" t="s">
        <v>174</v>
      </c>
      <c r="M27" s="40" t="s">
        <v>190</v>
      </c>
      <c r="N27" s="40" t="s">
        <v>183</v>
      </c>
      <c r="O27" s="40" t="s">
        <v>184</v>
      </c>
      <c r="Q27" s="63" t="s">
        <v>49</v>
      </c>
      <c r="R27" s="63" t="s">
        <v>185</v>
      </c>
      <c r="S27" s="63" t="s">
        <v>159</v>
      </c>
      <c r="T27" s="63" t="s">
        <v>162</v>
      </c>
      <c r="U27" s="63" t="s">
        <v>166</v>
      </c>
      <c r="V27" s="63" t="s">
        <v>169</v>
      </c>
      <c r="W27" s="63" t="s">
        <v>172</v>
      </c>
      <c r="X27" s="63" t="s">
        <v>174</v>
      </c>
    </row>
    <row r="28" spans="3:24" x14ac:dyDescent="0.25">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x14ac:dyDescent="0.25">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x14ac:dyDescent="0.25">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3" t="s">
        <v>199</v>
      </c>
      <c r="C24" s="143"/>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70</v>
      </c>
      <c r="D51" s="93">
        <v>502</v>
      </c>
      <c r="E51" s="94">
        <v>0.3</v>
      </c>
      <c r="F51" s="95">
        <v>20</v>
      </c>
    </row>
    <row r="52" spans="3:6" x14ac:dyDescent="0.25">
      <c r="C52" s="72" t="s">
        <v>253</v>
      </c>
      <c r="D52" s="93">
        <v>503</v>
      </c>
      <c r="E52" s="94">
        <v>0.25</v>
      </c>
      <c r="F52" s="95">
        <v>20</v>
      </c>
    </row>
    <row r="53" spans="3:6" x14ac:dyDescent="0.25">
      <c r="C53" s="72" t="s">
        <v>254</v>
      </c>
      <c r="D53" s="93">
        <v>504</v>
      </c>
      <c r="E53" s="94">
        <v>0.25</v>
      </c>
      <c r="F53" s="95">
        <v>20</v>
      </c>
    </row>
    <row r="54" spans="3:6" x14ac:dyDescent="0.25">
      <c r="C54" s="73" t="s">
        <v>255</v>
      </c>
      <c r="D54" s="93">
        <v>505</v>
      </c>
      <c r="E54" s="94">
        <v>0.5</v>
      </c>
      <c r="F54" s="95">
        <v>10</v>
      </c>
    </row>
    <row r="55" spans="3:6" x14ac:dyDescent="0.25">
      <c r="C55" s="72" t="s">
        <v>256</v>
      </c>
      <c r="D55" s="93">
        <v>506</v>
      </c>
      <c r="E55" s="96">
        <v>0.5</v>
      </c>
      <c r="F55" s="95">
        <v>10</v>
      </c>
    </row>
    <row r="56" spans="3:6" x14ac:dyDescent="0.25">
      <c r="C56" s="73" t="s">
        <v>257</v>
      </c>
      <c r="D56" s="93">
        <v>507</v>
      </c>
      <c r="E56" s="96">
        <v>0.65</v>
      </c>
      <c r="F56" s="95">
        <v>10</v>
      </c>
    </row>
    <row r="57" spans="3:6" x14ac:dyDescent="0.25">
      <c r="C57" s="73" t="s">
        <v>258</v>
      </c>
      <c r="D57" s="93">
        <v>510</v>
      </c>
      <c r="E57" s="96">
        <v>0.4</v>
      </c>
      <c r="F57" s="95">
        <v>10</v>
      </c>
    </row>
    <row r="58" spans="3:6" x14ac:dyDescent="0.25">
      <c r="C58" s="72" t="s">
        <v>259</v>
      </c>
      <c r="D58" s="93">
        <v>511</v>
      </c>
      <c r="E58" s="96">
        <v>0.1</v>
      </c>
      <c r="F58" s="95">
        <v>10</v>
      </c>
    </row>
    <row r="59" spans="3:6" x14ac:dyDescent="0.25">
      <c r="C59" s="72" t="s">
        <v>260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C4849-9D6C-4CEF-A030-1BF7E4DEF5D9}">
  <ds:schemaRefs>
    <ds:schemaRef ds:uri="http://schemas.microsoft.com/sharepoint/v3/contenttype/forms"/>
  </ds:schemaRefs>
</ds:datastoreItem>
</file>

<file path=customXml/itemProps2.xml><?xml version="1.0" encoding="utf-8"?>
<ds:datastoreItem xmlns:ds="http://schemas.openxmlformats.org/officeDocument/2006/customXml" ds:itemID="{8C9DB43A-E0F9-4C0E-A788-6ADD1402B277}">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F48F2CF3-3C90-4AD2-931F-F79A93D68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2018-10-30T15:15:26Z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