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Kingsley\"/>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<sst xmlns="http://schemas.openxmlformats.org/spreadsheetml/2006/main" count="291" uniqueCount="237">
  <si>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</si>
  <si>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</si>
  <si>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</si>
  <si>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</si>
  <si>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</si>
  <si>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</si>
  <si>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</si>
  <si>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</si>
  <si>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</si>
  <si>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</si>
  <si>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</si>
  <si>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</si>
  <si>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</si>
  <si>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</si>
  <si>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</si>
  <si>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</si>
  <si>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</si>
  <si>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</si>
  <si>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</si>
  <si>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</si>
  <si>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</si>
  <si>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</si>
  <si>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</si>
  <si>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</si>
  <si>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</si>
  <si>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</si>
  <si>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</si>
  <si>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</si>
  <si>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</si>
  <si>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</si>
  <si>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</si>
  <si>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</si>
  <si>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</si>
  <si>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</si>
  <si>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</si>
  <si>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</si>
  <si>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</si>
  <si>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</si>
  <si>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</si>
  <si>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</si>
  <si>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</si>
  <si>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</si>
  <si>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</si>
  <si>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</si>
  <si>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</si>
  <si>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</si>
  <si>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</si>
  <si>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</si>
  <si>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</si>
  <si>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</si>
  <si>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</si>
  <si>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</si>
  <si>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</si>
  <si>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</si>
  <si>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</si>
  <si>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</si>
  <si>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</si>
  <si>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</si>
  <si>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</si>
  <si>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</si>
  <si>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</si>
  <si>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</si>
  <si>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</si>
  <si>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</si>
  <si>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</si>
  <si>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</si>
  <si>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</si>
  <si>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</si>
  <si>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</si>
  <si>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</si>
  <si>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</si>
  <si>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</si>
  <si>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</si>
  <si>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</si>
  <si>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</si>
  <si>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</si>
  <si>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</si>
  <si>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</si>
  <si>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</si>
  <si>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</si>
  <si>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</si>
  <si>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</si>
  <si>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</si>
  <si>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</si>
  <si>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</si>
  <si>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</si>
  <si>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</si>
  <si>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</si>
  <si>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</si>
  <si>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</si>
  <si>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</si>
  <si>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</si>
  <si>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</si>
  <si>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</si>
  <si>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</si>
  <si>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</si>
  <si>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</si>
  <si>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</si>
  <si>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</si>
  <si>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</si>
  <si>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</si>
  <si>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</si>
  <si>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</si>
  <si>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</si>
  <si>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</si>
  <si>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</si>
  <si>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</si>
  <si>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</si>
  <si>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</si>
  <si>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</si>
  <si>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</si>
  <si>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</si>
  <si>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</si>
  <si>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</si>
  <si>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</si>
  <si>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</si>
  <si>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</si>
  <si>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</si>
  <si>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</si>
  <si>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</si>
  <si>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</si>
  <si>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</si>
  <si>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</si>
  <si>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</si>
  <si>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</si>
  <si>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</si>
  <si>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</si>
  <si>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</si>
  <si>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</si>
  <si>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</si>
  <si>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</si>
  <si>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</si>
  <si>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</si>
  <si>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</si>
  <si>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</si>
  <si>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</si>
  <si>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</si>
  <si>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</si>
  <si>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</si>
  <si>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</si>
  <si>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</si>
  <si>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</si>
  <si>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</si>
  <si>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</si>
  <si>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</si>
  <si>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</si>
  <si>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</si>
  <si>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</si>
  <si>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</si>
  <si>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</si>
  <si>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</si>
  <si>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</si>
  <si>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</si>
  <si>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</si>
  <si>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</si>
  <si>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</si>
  <si>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</si>
  <si>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</si>
  <si>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</si>
  <si>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</si>
  <si>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</si>
  <si>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</si>
  <si>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</si>
  <si>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</si>
  <si>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</si>
  <si>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</si>
  <si>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</si>
  <si>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</si>
  <si>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</si>
  <si>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</si>
  <si>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</si>
  <si>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</si>
  <si>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</si>
  <si>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</si>
  <si>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</si>
  <si>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</si>
  <si>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</si>
  <si>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</si>
  <si>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</si>
  <si>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</si>
  <si>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</si>
  <si>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</si>
  <si>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</si>
  <si>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</si>
  <si>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</si>
  <si>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</si>
  <si>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</si>
  <si>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</si>
  <si>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</si>
  <si>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</si>
  <si>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</si>
  <si>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</si>
  <si>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</si>
  <si>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</si>
  <si>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</si>
  <si>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</si>
  <si>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</si>
  <si>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</si>
  <si>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</si>
  <si>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</si>
  <si>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</si>
  <si>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</si>
  <si>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</si>
  <si>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</si>
  <si>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</si>
  <si>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</si>
  <si>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</si>
  <si>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</si>
  <si>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</si>
  <si>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</si>
  <si>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</si>
  <si>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</si>
  <si>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</si>
  <si>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</si>
  <si>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</si>
  <si>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</si>
  <si>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</si>
  <si>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</si>
  <si>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</si>
  <si>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</si>
  <si>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</si>
  <si>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</si>
  <si>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</si>
  <si>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</si>
  <si>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</si>
  <si>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</si>
  <si>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</si>
  <si>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</si>
  <si>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</si>
  <si>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</si>
  <si>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</si>
  <si>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</si>
  <si>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</si>
  <si>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Kingsley Road</t>
  </si>
  <si>
    <t>BW8 EB Feeder RD</t>
  </si>
  <si>
    <t>300' S of Clear Creek</t>
  </si>
  <si>
    <t>Kingsley - Clear Creek to BW 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</si>
</sst>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14" sqref="E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236</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0.9</v>
      </c>
    </row>
    <row r="13" spans="1:7" x14ac:dyDescent="0.25">
      <c r="A13" s="8" t="s">
        <v>68</v>
      </c>
      <c r="B13" s="138">
        <v>156</v>
      </c>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3.0000000000000002E-2</v>
      </c>
    </row>
    <row r="19" spans="1:7" ht="30" x14ac:dyDescent="0.25">
      <c r="A19" s="8" t="s">
        <v>121</v>
      </c>
      <c r="B19" s="140" t="s">
        <v>128</v>
      </c>
      <c r="E19" s="107" t="s">
        <v>212</v>
      </c>
      <c r="F19" s="146">
        <f>$B$12/$B$33</f>
        <v>3.6000000000000004E-2</v>
      </c>
    </row>
    <row r="20" spans="1:7" ht="30" x14ac:dyDescent="0.25">
      <c r="A20" s="135" t="s">
        <v>208</v>
      </c>
      <c r="B20" s="136">
        <f>VLOOKUP(B19,'Delay Reduction Factors'!B4:C80,2, FALSE)</f>
        <v>0.4</v>
      </c>
      <c r="E20" s="107" t="s">
        <v>209</v>
      </c>
      <c r="F20" s="145">
        <f>$F$19-$F$18</f>
        <v>6.0000000000000019E-3</v>
      </c>
    </row>
    <row r="21" spans="1:7" x14ac:dyDescent="0.25">
      <c r="A21" s="8" t="s">
        <v>104</v>
      </c>
      <c r="B21" s="79">
        <v>30</v>
      </c>
      <c r="D21" s="121"/>
      <c r="E21" s="105" t="s">
        <v>210</v>
      </c>
      <c r="F21" s="145">
        <f>$F$20*$B$20</f>
        <v>2.4000000000000011E-3</v>
      </c>
      <c r="G21" s="122"/>
    </row>
    <row r="22" spans="1:7" s="113" customFormat="1" x14ac:dyDescent="0.25">
      <c r="D22" s="121"/>
      <c r="E22" s="105" t="s">
        <v>211</v>
      </c>
      <c r="F22" s="145">
        <f>$F$20-$F$21</f>
        <v>3.6000000000000008E-3</v>
      </c>
      <c r="G22" s="122"/>
    </row>
    <row r="23" spans="1:7" x14ac:dyDescent="0.25">
      <c r="E23" s="105" t="s">
        <v>213</v>
      </c>
      <c r="F23" s="145">
        <f>$F$18+$F$22</f>
        <v>3.3600000000000005E-2</v>
      </c>
    </row>
    <row r="24" spans="1:7" x14ac:dyDescent="0.25">
      <c r="A24" s="119" t="s">
        <v>94</v>
      </c>
      <c r="B24" s="123"/>
      <c r="D24" s="121"/>
      <c r="G24" s="124"/>
    </row>
    <row r="25" spans="1:7" x14ac:dyDescent="0.25">
      <c r="A25" s="8" t="s">
        <v>218</v>
      </c>
      <c r="B25" s="141">
        <v>4030</v>
      </c>
      <c r="D25" s="121"/>
      <c r="G25" s="124"/>
    </row>
    <row r="28" spans="1:7" x14ac:dyDescent="0.25">
      <c r="A28" s="105" t="s">
        <v>227</v>
      </c>
      <c r="B28" s="134">
        <f>IF(FacilityType='Delay Reduction Factors'!N5,'Inputs &amp; Outputs'!B25*45%, B25*43%)</f>
        <v>1732.8999999999999</v>
      </c>
      <c r="D28" s="121"/>
      <c r="E28" s="125" t="s">
        <v>95</v>
      </c>
      <c r="F28" s="126" t="s">
        <v>20</v>
      </c>
      <c r="G28" s="127" t="s">
        <v>19</v>
      </c>
    </row>
    <row r="29" spans="1:7" x14ac:dyDescent="0.25">
      <c r="A29" s="105" t="s">
        <v>228</v>
      </c>
      <c r="B29" s="115">
        <f>VLOOKUP(Year_Open_to_Traffic?,Calculations!H4:I36,2)</f>
        <v>2488.330533297184</v>
      </c>
      <c r="D29" s="121"/>
      <c r="E29" s="107" t="s">
        <v>122</v>
      </c>
      <c r="F29" s="101">
        <f>$B$29*$F$23</f>
        <v>83.607905918785391</v>
      </c>
      <c r="G29" s="102">
        <f>$B$29*$F$19</f>
        <v>89.579899198698641</v>
      </c>
    </row>
    <row r="30" spans="1:7" x14ac:dyDescent="0.25">
      <c r="A30" s="124"/>
      <c r="B30" s="100"/>
      <c r="D30" s="121"/>
    </row>
    <row r="32" spans="1:7" x14ac:dyDescent="0.25">
      <c r="A32" s="128" t="s">
        <v>221</v>
      </c>
      <c r="B32" s="142">
        <v>30</v>
      </c>
      <c r="D32" s="121"/>
    </row>
    <row r="33" spans="1:7" ht="30" x14ac:dyDescent="0.25">
      <c r="A33" s="129" t="s">
        <v>222</v>
      </c>
      <c r="B33" s="143">
        <v>25</v>
      </c>
      <c r="D33" s="121"/>
      <c r="E33" s="121"/>
      <c r="F33" s="130"/>
      <c r="G33" s="117"/>
    </row>
    <row r="34" spans="1:7" x14ac:dyDescent="0.25">
      <c r="A34" s="131"/>
      <c r="B34" s="144"/>
      <c r="E34" s="117"/>
      <c r="F34" s="130"/>
      <c r="G34" s="130"/>
    </row>
    <row r="35" spans="1:7" x14ac:dyDescent="0.25">
      <c r="A35" s="105" t="s">
        <v>223</v>
      </c>
      <c r="B35" s="148">
        <f>$B$28</f>
        <v>1732.8999999999999</v>
      </c>
    </row>
    <row r="36" spans="1:7" x14ac:dyDescent="0.25">
      <c r="A36" s="128" t="s">
        <v>224</v>
      </c>
      <c r="B36" s="142">
        <v>2400</v>
      </c>
    </row>
    <row r="37" spans="1:7" x14ac:dyDescent="0.25">
      <c r="A37" s="128" t="s">
        <v>229</v>
      </c>
      <c r="B37" s="142">
        <v>2643</v>
      </c>
    </row>
    <row r="38" spans="1:7" x14ac:dyDescent="0.25">
      <c r="A38" s="128" t="s">
        <v>225</v>
      </c>
      <c r="B38" s="142">
        <v>4600</v>
      </c>
    </row>
    <row r="39" spans="1:7" x14ac:dyDescent="0.25">
      <c r="A39" s="128" t="s">
        <v>230</v>
      </c>
      <c r="B39" s="142">
        <v>5894</v>
      </c>
    </row>
    <row r="40" spans="1:7" x14ac:dyDescent="0.25">
      <c r="A40" s="128" t="s">
        <v>226</v>
      </c>
      <c r="B40" s="142">
        <v>4600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756.19006278412326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21738.0555388842</v>
      </c>
      <c r="F4" s="22">
        <f>'Inputs &amp; Outputs'!G29*Annual_Days_of_Travel</f>
        <v>23290.773791661646</v>
      </c>
      <c r="H4" s="59">
        <v>2018</v>
      </c>
      <c r="I4" s="60">
        <f>'Inputs &amp; Outputs'!B28</f>
        <v>1732.8999999999999</v>
      </c>
      <c r="J4" s="60">
        <f>IF(H4=Year_Open_to_Traffic?,$F$4,0)</f>
        <v>0</v>
      </c>
      <c r="K4" s="60">
        <f>IF(H4=Year_Open_to_Traffic?,Calculations!$E$4,0)</f>
        <v>0</v>
      </c>
      <c r="L4" s="60">
        <f>IF(AND(H4&gt;=Year_Open_to_Traffic?, Calculations!H4&lt;Year_Open_to_Traffic?+'Inputs &amp; Outputs'!B$21), 1, 0)</f>
        <v>0</v>
      </c>
      <c r="M4" s="81" t="s">
        <v>75</v>
      </c>
      <c r="N4" s="82">
        <f>MIN(E8,1)</f>
        <v>0.72204166666666658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6.2157926623144899E-2</v>
      </c>
      <c r="F5" s="28"/>
      <c r="H5" s="15">
        <f t="shared" ref="H5:H36" si="3">H4+1</f>
        <v>2019</v>
      </c>
      <c r="I5" s="97">
        <f>(I4*M5)+I4</f>
        <v>1840.6134710452477</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6.2157926623144899E-2</v>
      </c>
      <c r="N5" s="87">
        <f t="shared" ref="N5:N11" si="6">N4*(1+IFERROR(_2018_2025_V_C_Growth,_2018_2045_V_C_Growth))</f>
        <v>0.69885577116173525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4.0915914332859016E-2</v>
      </c>
      <c r="F6" s="28"/>
      <c r="H6" s="59">
        <f t="shared" si="3"/>
        <v>2020</v>
      </c>
      <c r="I6" s="97">
        <f t="shared" ref="I6:I36" si="10">(I5*M6)+I5</f>
        <v>1955.0221881200503</v>
      </c>
      <c r="J6" s="60">
        <f t="shared" si="4"/>
        <v>0</v>
      </c>
      <c r="K6" s="60">
        <f>IF(H6=Year_Open_to_Traffic?,Calculations!$E$4,K5+(K5*M6))</f>
        <v>0</v>
      </c>
      <c r="L6" s="60">
        <f>IF(AND(H6&gt;=Year_Open_to_Traffic?, Calculations!H6&lt;Year_Open_to_Traffic?+'Inputs &amp; Outputs'!B$21), 1, 0)</f>
        <v>0</v>
      </c>
      <c r="M6" s="81">
        <f t="shared" si="5"/>
        <v>6.2157926623144899E-2</v>
      </c>
      <c r="N6" s="87">
        <f t="shared" si="6"/>
        <v>0.67641441129121871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4.6381964567410838E-2</v>
      </c>
      <c r="F7" s="28"/>
      <c r="H7" s="15">
        <f t="shared" si="3"/>
        <v>2021</v>
      </c>
      <c r="I7" s="97">
        <f t="shared" si="10"/>
        <v>2076.5423138358365</v>
      </c>
      <c r="J7" s="60">
        <f t="shared" si="4"/>
        <v>0</v>
      </c>
      <c r="K7" s="60">
        <f>IF(H7=Year_Open_to_Traffic?,Calculations!$E$4,K6+(K6*M7))</f>
        <v>0</v>
      </c>
      <c r="L7" s="60">
        <f>IF(AND(H7&gt;=Year_Open_to_Traffic?, Calculations!H7&lt;Year_Open_to_Traffic?+'Inputs &amp; Outputs'!B$21), 1, 0)</f>
        <v>0</v>
      </c>
      <c r="M7" s="81">
        <f t="shared" si="5"/>
        <v>6.2157926623144899E-2</v>
      </c>
      <c r="N7" s="87">
        <f t="shared" si="6"/>
        <v>0.654693678842868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0.72204166666666658</v>
      </c>
      <c r="F8" s="28"/>
      <c r="H8" s="59">
        <f t="shared" si="3"/>
        <v>2022</v>
      </c>
      <c r="I8" s="97">
        <f t="shared" si="10"/>
        <v>2205.6158786091</v>
      </c>
      <c r="J8" s="60">
        <f t="shared" si="4"/>
        <v>0</v>
      </c>
      <c r="K8" s="60">
        <f>IF(H8=Year_Open_to_Traffic?,Calculations!$E$4,K7+(K7*M8))</f>
        <v>0</v>
      </c>
      <c r="L8" s="60">
        <f>IF(AND(H8&gt;=Year_Open_to_Traffic?, Calculations!H8&lt;Year_Open_to_Traffic?+'Inputs &amp; Outputs'!B$21), 1, 0)</f>
        <v>0</v>
      </c>
      <c r="M8" s="81">
        <f t="shared" si="5"/>
        <v>6.2157926623144899E-2</v>
      </c>
      <c r="N8" s="87">
        <f t="shared" si="6"/>
        <v>0.63367043333479733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30</v>
      </c>
      <c r="D9" s="18" t="s">
        <v>65</v>
      </c>
      <c r="E9" s="23">
        <f>_2025_PeakVolume/_2025_Capacity</f>
        <v>0.57456521739130439</v>
      </c>
      <c r="F9" s="28"/>
      <c r="H9" s="15">
        <f t="shared" si="3"/>
        <v>2023</v>
      </c>
      <c r="I9" s="97">
        <f t="shared" si="10"/>
        <v>2342.712388550528</v>
      </c>
      <c r="J9" s="60">
        <f t="shared" si="4"/>
        <v>0</v>
      </c>
      <c r="K9" s="60">
        <f>IF(H9=Year_Open_to_Traffic?,Calculations!$E$4,K8+(K8*M9))</f>
        <v>0</v>
      </c>
      <c r="L9" s="60">
        <f>IF(AND(H9&gt;=Year_Open_to_Traffic?, Calculations!H9&lt;Year_Open_to_Traffic?+'Inputs &amp; Outputs'!B$21), 1, 0)</f>
        <v>0</v>
      </c>
      <c r="M9" s="81">
        <f t="shared" si="5"/>
        <v>6.2157926623144899E-2</v>
      </c>
      <c r="N9" s="87">
        <f t="shared" si="6"/>
        <v>0.61332227736245248</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1.281304347826087</v>
      </c>
      <c r="F10" s="28"/>
      <c r="H10" s="59">
        <f t="shared" si="3"/>
        <v>2024</v>
      </c>
      <c r="I10" s="97">
        <f t="shared" si="10"/>
        <v>2488.330533297184</v>
      </c>
      <c r="J10" s="60">
        <f t="shared" si="4"/>
        <v>23290.773791661646</v>
      </c>
      <c r="K10" s="60">
        <f>IF(H10=Year_Open_to_Traffic?,Calculations!$E$4,K9+(K9*M10))</f>
        <v>21738.0555388842</v>
      </c>
      <c r="L10" s="60">
        <f>IF(AND(H10&gt;=Year_Open_to_Traffic?, Calculations!H10&lt;Year_Open_to_Traffic?+'Inputs &amp; Outputs'!B$21), 1, 0)</f>
        <v>1</v>
      </c>
      <c r="M10" s="81">
        <f t="shared" si="5"/>
        <v>6.2157926623144899E-2</v>
      </c>
      <c r="N10" s="87">
        <f t="shared" si="6"/>
        <v>0.59362753273722679</v>
      </c>
      <c r="O10" s="88">
        <f t="shared" si="7"/>
        <v>1</v>
      </c>
      <c r="P10" s="84">
        <f>(J10-K10)*L10</f>
        <v>1552.7182527774457</v>
      </c>
      <c r="Q10" s="85">
        <f t="shared" si="0"/>
        <v>1</v>
      </c>
      <c r="R10" s="86">
        <f t="shared" si="1"/>
        <v>20.320200961804083</v>
      </c>
      <c r="S10" s="94">
        <f t="shared" si="2"/>
        <v>43.85665023756362</v>
      </c>
      <c r="T10" s="80">
        <f t="shared" si="9"/>
        <v>29.223537848441126</v>
      </c>
      <c r="W10" s="73"/>
    </row>
    <row r="11" spans="1:24" ht="30" customHeight="1" x14ac:dyDescent="0.25">
      <c r="A11" s="153" t="s">
        <v>219</v>
      </c>
      <c r="B11" s="154"/>
      <c r="D11" s="18" t="s">
        <v>70</v>
      </c>
      <c r="E11" s="46">
        <f>(E9/E8)^(1/(2025-2018))-1</f>
        <v>-3.2111575516091673E-2</v>
      </c>
      <c r="F11" s="28"/>
      <c r="H11" s="15">
        <f t="shared" si="3"/>
        <v>2025</v>
      </c>
      <c r="I11" s="97">
        <f t="shared" si="10"/>
        <v>2643.0000000000014</v>
      </c>
      <c r="J11" s="60">
        <f t="shared" si="4"/>
        <v>24738.480000000018</v>
      </c>
      <c r="K11" s="60">
        <f>IF(H11=Year_Open_to_Traffic?,Calculations!$E$4,K10+(K10*M11))</f>
        <v>23089.248000000014</v>
      </c>
      <c r="L11" s="60">
        <f>IF(AND(H11&gt;=Year_Open_to_Traffic?, Calculations!H11&lt;Year_Open_to_Traffic?+'Inputs &amp; Outputs'!B$21), 1, 0)</f>
        <v>1</v>
      </c>
      <c r="M11" s="81">
        <f t="shared" si="5"/>
        <v>6.2157926623144899E-2</v>
      </c>
      <c r="N11" s="87">
        <f t="shared" si="6"/>
        <v>0.57456521739130417</v>
      </c>
      <c r="O11" s="88">
        <f t="shared" si="7"/>
        <v>1</v>
      </c>
      <c r="P11" s="84">
        <f t="shared" si="8"/>
        <v>1649.2320000000036</v>
      </c>
      <c r="Q11" s="85">
        <f t="shared" si="0"/>
        <v>1</v>
      </c>
      <c r="R11" s="86">
        <f t="shared" si="1"/>
        <v>20.787565583925574</v>
      </c>
      <c r="S11" s="94">
        <f t="shared" si="2"/>
        <v>47.654090524721248</v>
      </c>
      <c r="T11" s="80">
        <f t="shared" si="9"/>
        <v>29.676572574015097</v>
      </c>
      <c r="W11" s="73"/>
    </row>
    <row r="12" spans="1:24" x14ac:dyDescent="0.25">
      <c r="A12" s="18" t="s">
        <v>205</v>
      </c>
      <c r="B12" s="19">
        <v>0.45</v>
      </c>
      <c r="D12" s="18" t="s">
        <v>83</v>
      </c>
      <c r="E12" s="46">
        <f>(E10/E9)^(1/(2045-2025))-1</f>
        <v>4.0915914332859016E-2</v>
      </c>
      <c r="F12" s="28"/>
      <c r="H12" s="59">
        <v>2026</v>
      </c>
      <c r="I12" s="97">
        <f t="shared" si="10"/>
        <v>2751.1407615817479</v>
      </c>
      <c r="J12" s="60">
        <f t="shared" si="4"/>
        <v>25750.677528405166</v>
      </c>
      <c r="K12" s="60">
        <f>IF(H12=Year_Open_to_Traffic?,Calculations!$E$4,K11+(K11*M12))</f>
        <v>24033.96569317815</v>
      </c>
      <c r="L12" s="60">
        <f>IF(AND(H12&gt;=Year_Open_to_Traffic?, Calculations!H12&lt;Year_Open_to_Traffic?+'Inputs &amp; Outputs'!B$21), 1, 0)</f>
        <v>1</v>
      </c>
      <c r="M12" s="81">
        <f t="shared" ref="M12:M36" si="11">IFERROR(_2025_2045_Demand_Growth,_2018_2045_Demand_Growth)</f>
        <v>4.0915914332859016E-2</v>
      </c>
      <c r="N12" s="87">
        <f t="shared" ref="N12:N36" si="12">N11*(1+IFERROR(_2025_2045_V_C_Growth,_2018_2045_V_C_Growth))</f>
        <v>0.59807407860472728</v>
      </c>
      <c r="O12" s="88">
        <f t="shared" si="7"/>
        <v>1</v>
      </c>
      <c r="P12" s="84">
        <f t="shared" si="8"/>
        <v>1716.7118352270154</v>
      </c>
      <c r="Q12" s="85">
        <f t="shared" si="0"/>
        <v>1</v>
      </c>
      <c r="R12" s="86">
        <f t="shared" si="1"/>
        <v>21.265679592355859</v>
      </c>
      <c r="S12" s="94">
        <f t="shared" si="2"/>
        <v>50.744790938076648</v>
      </c>
      <c r="T12" s="80">
        <f t="shared" si="9"/>
        <v>29.533930335210066</v>
      </c>
      <c r="W12" s="73"/>
    </row>
    <row r="13" spans="1:24" x14ac:dyDescent="0.25">
      <c r="A13" s="18" t="s">
        <v>206</v>
      </c>
      <c r="B13" s="19">
        <v>0.43</v>
      </c>
      <c r="D13" s="18" t="s">
        <v>84</v>
      </c>
      <c r="E13" s="46">
        <f>(E10/E8)^(1/(2045-2018))-1</f>
        <v>2.1469860900640958E-2</v>
      </c>
      <c r="F13" s="28"/>
      <c r="H13" s="15">
        <f t="shared" si="3"/>
        <v>2027</v>
      </c>
      <c r="I13" s="97">
        <f t="shared" si="10"/>
        <v>2863.7062013002633</v>
      </c>
      <c r="J13" s="60">
        <f t="shared" si="4"/>
        <v>26804.29004417047</v>
      </c>
      <c r="K13" s="60">
        <f>IF(H13=Year_Open_to_Traffic?,Calculations!$E$4,K12+(K12*M13))</f>
        <v>25017.337374559102</v>
      </c>
      <c r="L13" s="60">
        <f>IF(AND(H13&gt;=Year_Open_to_Traffic?, Calculations!H13&lt;Year_Open_to_Traffic?+'Inputs &amp; Outputs'!B$21), 1, 0)</f>
        <v>1</v>
      </c>
      <c r="M13" s="81">
        <f t="shared" si="11"/>
        <v>4.0915914332859016E-2</v>
      </c>
      <c r="N13" s="87">
        <f t="shared" si="12"/>
        <v>0.62254482636962194</v>
      </c>
      <c r="O13" s="88">
        <f t="shared" si="7"/>
        <v>1</v>
      </c>
      <c r="P13" s="84">
        <f t="shared" si="8"/>
        <v>1786.952669611368</v>
      </c>
      <c r="Q13" s="85">
        <f t="shared" si="0"/>
        <v>1</v>
      </c>
      <c r="R13" s="86">
        <f t="shared" si="1"/>
        <v>21.754790222980041</v>
      </c>
      <c r="S13" s="94">
        <f t="shared" si="2"/>
        <v>54.035944847447368</v>
      </c>
      <c r="T13" s="80">
        <f t="shared" si="9"/>
        <v>29.391973714942655</v>
      </c>
      <c r="W13" s="73"/>
    </row>
    <row r="14" spans="1:24" x14ac:dyDescent="0.25">
      <c r="H14" s="59">
        <f>H13+1</f>
        <v>2028</v>
      </c>
      <c r="I14" s="97">
        <f t="shared" si="10"/>
        <v>2980.877358907142</v>
      </c>
      <c r="J14" s="60">
        <f t="shared" si="4"/>
        <v>27901.012079370856</v>
      </c>
      <c r="K14" s="60">
        <f>IF(H14=Year_Open_to_Traffic?,Calculations!$E$4,K13+(K13*M14))</f>
        <v>26040.944607412795</v>
      </c>
      <c r="L14" s="60">
        <f>IF(AND(H14&gt;=Year_Open_to_Traffic?, Calculations!H14&lt;Year_Open_to_Traffic?+'Inputs &amp; Outputs'!B$21), 1, 0)</f>
        <v>1</v>
      </c>
      <c r="M14" s="81">
        <f t="shared" si="11"/>
        <v>4.0915914332859016E-2</v>
      </c>
      <c r="N14" s="87">
        <f t="shared" si="12"/>
        <v>0.64801681715372594</v>
      </c>
      <c r="O14" s="88">
        <f t="shared" si="7"/>
        <v>1</v>
      </c>
      <c r="P14" s="84">
        <f t="shared" si="8"/>
        <v>1860.0674719580602</v>
      </c>
      <c r="Q14" s="85">
        <f t="shared" si="0"/>
        <v>1</v>
      </c>
      <c r="R14" s="86">
        <f t="shared" si="1"/>
        <v>22.255150398108579</v>
      </c>
      <c r="S14" s="94">
        <f t="shared" si="2"/>
        <v>57.540553061288172</v>
      </c>
      <c r="T14" s="80">
        <f t="shared" si="9"/>
        <v>29.250699417746013</v>
      </c>
      <c r="W14" s="73"/>
    </row>
    <row r="15" spans="1:24" x14ac:dyDescent="0.25">
      <c r="H15" s="15">
        <f t="shared" si="3"/>
        <v>2029</v>
      </c>
      <c r="I15" s="97">
        <f t="shared" si="10"/>
        <v>3102.8426815609455</v>
      </c>
      <c r="J15" s="60">
        <f t="shared" si="4"/>
        <v>29042.607499410457</v>
      </c>
      <c r="K15" s="60">
        <f>IF(H15=Year_Open_to_Traffic?,Calculations!$E$4,K14+(K14*M15))</f>
        <v>27106.433666116423</v>
      </c>
      <c r="L15" s="60">
        <f>IF(AND(H15&gt;=Year_Open_to_Traffic?, Calculations!H15&lt;Year_Open_to_Traffic?+'Inputs &amp; Outputs'!B$21), 1, 0)</f>
        <v>1</v>
      </c>
      <c r="M15" s="81">
        <f t="shared" si="11"/>
        <v>4.0915914332859016E-2</v>
      </c>
      <c r="N15" s="87">
        <f t="shared" si="12"/>
        <v>0.67453101773063973</v>
      </c>
      <c r="O15" s="88">
        <f t="shared" si="7"/>
        <v>1</v>
      </c>
      <c r="P15" s="84">
        <f t="shared" si="8"/>
        <v>1936.1738332940331</v>
      </c>
      <c r="Q15" s="85">
        <f t="shared" si="0"/>
        <v>1</v>
      </c>
      <c r="R15" s="86">
        <f t="shared" si="1"/>
        <v>22.767018857265079</v>
      </c>
      <c r="S15" s="94">
        <f t="shared" si="2"/>
        <v>61.272459581232361</v>
      </c>
      <c r="T15" s="80">
        <f t="shared" si="9"/>
        <v>29.110104163993061</v>
      </c>
      <c r="W15" s="73"/>
    </row>
    <row r="16" spans="1:24" x14ac:dyDescent="0.25">
      <c r="H16" s="59">
        <f t="shared" si="3"/>
        <v>2030</v>
      </c>
      <c r="I16" s="97">
        <f t="shared" si="10"/>
        <v>3229.7983269080319</v>
      </c>
      <c r="J16" s="60">
        <f t="shared" si="4"/>
        <v>30230.912339859184</v>
      </c>
      <c r="K16" s="60">
        <f>IF(H16=Year_Open_to_Traffic?,Calculations!$E$4,K15+(K15*M16))</f>
        <v>28215.518183868568</v>
      </c>
      <c r="L16" s="60">
        <f>IF(AND(H16&gt;=Year_Open_to_Traffic?, Calculations!H16&lt;Year_Open_to_Traffic?+'Inputs &amp; Outputs'!B$21), 1, 0)</f>
        <v>1</v>
      </c>
      <c r="M16" s="81">
        <f t="shared" si="11"/>
        <v>4.0915914332859016E-2</v>
      </c>
      <c r="N16" s="87">
        <f t="shared" si="12"/>
        <v>0.70213007106696279</v>
      </c>
      <c r="O16" s="88">
        <f t="shared" si="7"/>
        <v>1</v>
      </c>
      <c r="P16" s="84">
        <f t="shared" si="8"/>
        <v>2015.3941559906161</v>
      </c>
      <c r="Q16" s="85">
        <f t="shared" si="0"/>
        <v>1</v>
      </c>
      <c r="R16" s="86">
        <f t="shared" si="1"/>
        <v>23.290660290982171</v>
      </c>
      <c r="S16" s="94">
        <f t="shared" si="2"/>
        <v>65.246406289055358</v>
      </c>
      <c r="T16" s="80">
        <f t="shared" si="9"/>
        <v>28.970184689820503</v>
      </c>
      <c r="W16" s="73"/>
    </row>
    <row r="17" spans="1:23" x14ac:dyDescent="0.25">
      <c r="A17" s="29"/>
      <c r="H17" s="15">
        <f t="shared" si="3"/>
        <v>2031</v>
      </c>
      <c r="I17" s="97">
        <f t="shared" si="10"/>
        <v>3361.9484785642121</v>
      </c>
      <c r="J17" s="60">
        <f t="shared" si="4"/>
        <v>31467.837759361031</v>
      </c>
      <c r="K17" s="60">
        <f>IF(H17=Year_Open_to_Traffic?,Calculations!$E$4,K16+(K16*M17))</f>
        <v>29369.981908736961</v>
      </c>
      <c r="L17" s="60">
        <f>IF(AND(H17&gt;=Year_Open_to_Traffic?, Calculations!H17&lt;Year_Open_to_Traffic?+'Inputs &amp; Outputs'!B$21), 1, 0)</f>
        <v>1</v>
      </c>
      <c r="M17" s="81">
        <f t="shared" si="11"/>
        <v>4.0915914332859016E-2</v>
      </c>
      <c r="N17" s="87">
        <f t="shared" si="12"/>
        <v>0.7308583649052629</v>
      </c>
      <c r="O17" s="88">
        <f t="shared" si="7"/>
        <v>1</v>
      </c>
      <c r="P17" s="84">
        <f t="shared" si="8"/>
        <v>2097.8558506240697</v>
      </c>
      <c r="Q17" s="85">
        <f t="shared" si="0"/>
        <v>1</v>
      </c>
      <c r="R17" s="86">
        <f t="shared" si="1"/>
        <v>23.82634547767476</v>
      </c>
      <c r="S17" s="94">
        <f t="shared" si="2"/>
        <v>69.478091180469178</v>
      </c>
      <c r="T17" s="80">
        <f t="shared" si="9"/>
        <v>28.830937747052868</v>
      </c>
      <c r="W17" s="73"/>
    </row>
    <row r="18" spans="1:23" x14ac:dyDescent="0.25">
      <c r="H18" s="59">
        <f t="shared" si="3"/>
        <v>2032</v>
      </c>
      <c r="I18" s="97">
        <f t="shared" si="10"/>
        <v>3499.5056745046313</v>
      </c>
      <c r="J18" s="60">
        <f t="shared" si="4"/>
        <v>32755.373113363352</v>
      </c>
      <c r="K18" s="60">
        <f>IF(H18=Year_Open_to_Traffic?,Calculations!$E$4,K17+(K17*M18))</f>
        <v>30571.681572472462</v>
      </c>
      <c r="L18" s="60">
        <f>IF(AND(H18&gt;=Year_Open_to_Traffic?, Calculations!H18&lt;Year_Open_to_Traffic?+'Inputs &amp; Outputs'!B$21), 1, 0)</f>
        <v>1</v>
      </c>
      <c r="M18" s="81">
        <f t="shared" si="11"/>
        <v>4.0915914332859016E-2</v>
      </c>
      <c r="N18" s="87">
        <f t="shared" si="12"/>
        <v>0.76076210315318005</v>
      </c>
      <c r="O18" s="88">
        <f t="shared" si="7"/>
        <v>1</v>
      </c>
      <c r="P18" s="84">
        <f t="shared" si="8"/>
        <v>2183.6915408908899</v>
      </c>
      <c r="Q18" s="85">
        <f t="shared" si="0"/>
        <v>1</v>
      </c>
      <c r="R18" s="86">
        <f t="shared" si="1"/>
        <v>24.374351423661277</v>
      </c>
      <c r="S18" s="94">
        <f t="shared" si="2"/>
        <v>73.984230375785813</v>
      </c>
      <c r="T18" s="80">
        <f t="shared" si="9"/>
        <v>28.692360103127417</v>
      </c>
      <c r="W18" s="73"/>
    </row>
    <row r="19" spans="1:23" x14ac:dyDescent="0.25">
      <c r="H19" s="15">
        <f t="shared" si="3"/>
        <v>2033</v>
      </c>
      <c r="I19" s="97">
        <f t="shared" si="10"/>
        <v>3642.6911488900168</v>
      </c>
      <c r="J19" s="60">
        <f t="shared" si="4"/>
        <v>34095.589153610563</v>
      </c>
      <c r="K19" s="60">
        <f>IF(H19=Year_Open_to_Traffic?,Calculations!$E$4,K18+(K18*M19))</f>
        <v>31822.54987670319</v>
      </c>
      <c r="L19" s="60">
        <f>IF(AND(H19&gt;=Year_Open_to_Traffic?, Calculations!H19&lt;Year_Open_to_Traffic?+'Inputs &amp; Outputs'!B$21), 1, 0)</f>
        <v>1</v>
      </c>
      <c r="M19" s="81">
        <f t="shared" si="11"/>
        <v>4.0915914332859016E-2</v>
      </c>
      <c r="N19" s="87">
        <f t="shared" si="12"/>
        <v>0.79188938019348121</v>
      </c>
      <c r="O19" s="88">
        <f t="shared" si="7"/>
        <v>1</v>
      </c>
      <c r="P19" s="84">
        <f t="shared" si="8"/>
        <v>2273.0392769073733</v>
      </c>
      <c r="Q19" s="85">
        <f t="shared" si="0"/>
        <v>1</v>
      </c>
      <c r="R19" s="86">
        <f t="shared" si="1"/>
        <v>24.934961506405479</v>
      </c>
      <c r="S19" s="94">
        <f t="shared" si="2"/>
        <v>78.782624152403997</v>
      </c>
      <c r="T19" s="80">
        <f t="shared" si="9"/>
        <v>28.554448541018857</v>
      </c>
      <c r="W19" s="73"/>
    </row>
    <row r="20" spans="1:23" x14ac:dyDescent="0.25">
      <c r="H20" s="59">
        <f t="shared" si="3"/>
        <v>2034</v>
      </c>
      <c r="I20" s="97">
        <f t="shared" si="10"/>
        <v>3791.7351878790646</v>
      </c>
      <c r="J20" s="60">
        <f t="shared" si="4"/>
        <v>35490.641358548048</v>
      </c>
      <c r="K20" s="60">
        <f>IF(H20=Year_Open_to_Traffic?,Calculations!$E$4,K19+(K19*M20))</f>
        <v>33124.598601311511</v>
      </c>
      <c r="L20" s="60">
        <f>IF(AND(H20&gt;=Year_Open_to_Traffic?, Calculations!H20&lt;Year_Open_to_Traffic?+'Inputs &amp; Outputs'!B$21), 1, 0)</f>
        <v>1</v>
      </c>
      <c r="M20" s="81">
        <f t="shared" si="11"/>
        <v>4.0915914332859016E-2</v>
      </c>
      <c r="N20" s="87">
        <f t="shared" si="12"/>
        <v>0.82429025823457847</v>
      </c>
      <c r="O20" s="88">
        <f t="shared" si="7"/>
        <v>1</v>
      </c>
      <c r="P20" s="84">
        <f t="shared" si="8"/>
        <v>2366.042757236537</v>
      </c>
      <c r="Q20" s="85">
        <f t="shared" si="0"/>
        <v>1</v>
      </c>
      <c r="R20" s="86">
        <f t="shared" si="1"/>
        <v>25.508465621052807</v>
      </c>
      <c r="S20" s="94">
        <f t="shared" si="2"/>
        <v>83.892227259963775</v>
      </c>
      <c r="T20" s="80">
        <f t="shared" si="9"/>
        <v>28.417199859164612</v>
      </c>
      <c r="W20" s="73"/>
    </row>
    <row r="21" spans="1:23" x14ac:dyDescent="0.25">
      <c r="H21" s="15">
        <f t="shared" si="3"/>
        <v>2035</v>
      </c>
      <c r="I21" s="97">
        <f t="shared" si="10"/>
        <v>3946.8774999992115</v>
      </c>
      <c r="J21" s="60">
        <f t="shared" si="4"/>
        <v>36942.77339999262</v>
      </c>
      <c r="K21" s="60">
        <f>IF(H21=Year_Open_to_Traffic?,Calculations!$E$4,K20+(K20*M21))</f>
        <v>34479.921839993112</v>
      </c>
      <c r="L21" s="60">
        <f>IF(AND(H21&gt;=Year_Open_to_Traffic?, Calculations!H21&lt;Year_Open_to_Traffic?+'Inputs &amp; Outputs'!B$21), 1, 0)</f>
        <v>1</v>
      </c>
      <c r="M21" s="81">
        <f t="shared" si="11"/>
        <v>4.0915914332859016E-2</v>
      </c>
      <c r="N21" s="87">
        <f t="shared" si="12"/>
        <v>0.8580168478259147</v>
      </c>
      <c r="O21" s="88">
        <f t="shared" si="7"/>
        <v>1</v>
      </c>
      <c r="P21" s="84">
        <f t="shared" si="8"/>
        <v>2462.851559999508</v>
      </c>
      <c r="Q21" s="85">
        <f t="shared" si="0"/>
        <v>1</v>
      </c>
      <c r="R21" s="86">
        <f t="shared" si="1"/>
        <v>26.095160330337016</v>
      </c>
      <c r="S21" s="94">
        <f t="shared" si="2"/>
        <v>89.333223795930834</v>
      </c>
      <c r="T21" s="80">
        <f t="shared" si="9"/>
        <v>28.280610871390746</v>
      </c>
      <c r="W21" s="73"/>
    </row>
    <row r="22" spans="1:23" x14ac:dyDescent="0.25">
      <c r="H22" s="59">
        <f>H21+1</f>
        <v>2036</v>
      </c>
      <c r="I22" s="97">
        <f t="shared" si="10"/>
        <v>4108.367601671468</v>
      </c>
      <c r="J22" s="60">
        <f t="shared" si="4"/>
        <v>38454.32075164494</v>
      </c>
      <c r="K22" s="60">
        <f>IF(H22=Year_Open_to_Traffic?,Calculations!$E$4,K21+(K21*M22))</f>
        <v>35890.699368201946</v>
      </c>
      <c r="L22" s="60">
        <f>IF(AND(H22&gt;=Year_Open_to_Traffic?, Calculations!H22&lt;Year_Open_to_Traffic?+'Inputs &amp; Outputs'!B$21), 1, 0)</f>
        <v>1</v>
      </c>
      <c r="M22" s="81">
        <f t="shared" si="11"/>
        <v>4.0915914332859016E-2</v>
      </c>
      <c r="N22" s="87">
        <f t="shared" si="12"/>
        <v>0.8931233916677096</v>
      </c>
      <c r="O22" s="88">
        <f t="shared" si="7"/>
        <v>1</v>
      </c>
      <c r="P22" s="84">
        <f t="shared" si="8"/>
        <v>2563.6213834429946</v>
      </c>
      <c r="Q22" s="85">
        <f t="shared" si="0"/>
        <v>1</v>
      </c>
      <c r="R22" s="86">
        <f t="shared" si="1"/>
        <v>26.695349017934767</v>
      </c>
      <c r="S22" s="94">
        <f t="shared" si="2"/>
        <v>95.127106937383587</v>
      </c>
      <c r="T22" s="80">
        <f t="shared" si="9"/>
        <v>28.144678406837787</v>
      </c>
      <c r="W22" s="73"/>
    </row>
    <row r="23" spans="1:23" x14ac:dyDescent="0.25">
      <c r="H23" s="15">
        <f t="shared" si="3"/>
        <v>2037</v>
      </c>
      <c r="I23" s="97">
        <f t="shared" si="10"/>
        <v>4276.465218509351</v>
      </c>
      <c r="J23" s="60">
        <f t="shared" si="4"/>
        <v>40027.714445247526</v>
      </c>
      <c r="K23" s="60">
        <f>IF(H23=Year_Open_to_Traffic?,Calculations!$E$4,K22+(K22*M23))</f>
        <v>37359.200148897697</v>
      </c>
      <c r="L23" s="60">
        <f>IF(AND(H23&gt;=Year_Open_to_Traffic?, Calculations!H23&lt;Year_Open_to_Traffic?+'Inputs &amp; Outputs'!B$21), 1, 0)</f>
        <v>1</v>
      </c>
      <c r="M23" s="81">
        <f t="shared" si="11"/>
        <v>4.0915914332859016E-2</v>
      </c>
      <c r="N23" s="87">
        <f t="shared" si="12"/>
        <v>0.92966635184985813</v>
      </c>
      <c r="O23" s="88">
        <f t="shared" si="7"/>
        <v>1</v>
      </c>
      <c r="P23" s="84">
        <f t="shared" si="8"/>
        <v>2668.5142963498292</v>
      </c>
      <c r="Q23" s="85">
        <f t="shared" si="0"/>
        <v>1</v>
      </c>
      <c r="R23" s="86">
        <f t="shared" si="1"/>
        <v>27.309342045347261</v>
      </c>
      <c r="S23" s="94">
        <f t="shared" si="2"/>
        <v>101.29676384396414</v>
      </c>
      <c r="T23" s="80">
        <f t="shared" si="9"/>
        <v>28.009399309887204</v>
      </c>
      <c r="W23" s="73"/>
    </row>
    <row r="24" spans="1:23" x14ac:dyDescent="0.25">
      <c r="H24" s="59">
        <f t="shared" si="3"/>
        <v>2038</v>
      </c>
      <c r="I24" s="97">
        <f t="shared" si="10"/>
        <v>4451.4407030373304</v>
      </c>
      <c r="J24" s="60">
        <f t="shared" si="4"/>
        <v>41665.484980429414</v>
      </c>
      <c r="K24" s="60">
        <f>IF(H24=Year_Open_to_Traffic?,Calculations!$E$4,K23+(K23*M24))</f>
        <v>38887.78598173413</v>
      </c>
      <c r="L24" s="60">
        <f>IF(AND(H24&gt;=Year_Open_to_Traffic?, Calculations!H24&lt;Year_Open_to_Traffic?+'Inputs &amp; Outputs'!B$21), 1, 0)</f>
        <v>1</v>
      </c>
      <c r="M24" s="81">
        <f t="shared" si="11"/>
        <v>4.0915914332859016E-2</v>
      </c>
      <c r="N24" s="87">
        <f t="shared" si="12"/>
        <v>0.96770450066028846</v>
      </c>
      <c r="O24" s="88">
        <f t="shared" si="7"/>
        <v>1</v>
      </c>
      <c r="P24" s="84">
        <f>(J24-K24)*L24</f>
        <v>2777.6989986952831</v>
      </c>
      <c r="Q24" s="85">
        <f t="shared" si="0"/>
        <v>1</v>
      </c>
      <c r="R24" s="86">
        <f t="shared" si="1"/>
        <v>27.93745691239025</v>
      </c>
      <c r="S24" s="94">
        <f t="shared" si="2"/>
        <v>107.86656606737822</v>
      </c>
      <c r="T24" s="80">
        <f t="shared" si="9"/>
        <v>27.874770440088167</v>
      </c>
      <c r="W24" s="73"/>
    </row>
    <row r="25" spans="1:23" x14ac:dyDescent="0.25">
      <c r="H25" s="15">
        <f t="shared" si="3"/>
        <v>2039</v>
      </c>
      <c r="I25" s="97">
        <f t="shared" si="10"/>
        <v>4633.5754695006071</v>
      </c>
      <c r="J25" s="60">
        <f t="shared" si="4"/>
        <v>43370.266394525686</v>
      </c>
      <c r="K25" s="60">
        <f>IF(H25=Year_Open_to_Traffic?,Calculations!$E$4,K24+(K24*M25))</f>
        <v>40478.915301557317</v>
      </c>
      <c r="L25" s="60">
        <f>IF(AND(H25&gt;=Year_Open_to_Traffic?, Calculations!H25&lt;Year_Open_to_Traffic?+'Inputs &amp; Outputs'!B$21), 1, 0)</f>
        <v>1</v>
      </c>
      <c r="M25" s="81">
        <f t="shared" si="11"/>
        <v>4.0915914332859016E-2</v>
      </c>
      <c r="N25" s="87">
        <f t="shared" si="12"/>
        <v>1.007299015108827</v>
      </c>
      <c r="O25" s="88">
        <f t="shared" si="7"/>
        <v>0</v>
      </c>
      <c r="P25" s="84">
        <f t="shared" si="8"/>
        <v>2891.3510929683689</v>
      </c>
      <c r="Q25" s="85">
        <f t="shared" si="0"/>
        <v>1</v>
      </c>
      <c r="R25" s="86">
        <f t="shared" si="1"/>
        <v>28.580018421375218</v>
      </c>
      <c r="S25" s="94">
        <f t="shared" si="2"/>
        <v>114.86246582458209</v>
      </c>
      <c r="T25" s="80">
        <f t="shared" si="9"/>
        <v>27.740788672084648</v>
      </c>
      <c r="W25" s="73"/>
    </row>
    <row r="26" spans="1:23" x14ac:dyDescent="0.25">
      <c r="H26" s="59">
        <f t="shared" si="3"/>
        <v>2040</v>
      </c>
      <c r="I26" s="97">
        <f t="shared" si="10"/>
        <v>4823.1624464655306</v>
      </c>
      <c r="J26" s="60">
        <f t="shared" si="4"/>
        <v>45144.800498917371</v>
      </c>
      <c r="K26" s="60">
        <f>IF(H26=Year_Open_to_Traffic?,Calculations!$E$4,K25+(K25*M26))</f>
        <v>42135.147132322891</v>
      </c>
      <c r="L26" s="60">
        <f>IF(AND(H26&gt;=Year_Open_to_Traffic?, Calculations!H26&lt;Year_Open_to_Traffic?+'Inputs &amp; Outputs'!B$21), 1, 0)</f>
        <v>1</v>
      </c>
      <c r="M26" s="81">
        <f t="shared" si="11"/>
        <v>4.0915914332859016E-2</v>
      </c>
      <c r="N26" s="87">
        <f t="shared" si="12"/>
        <v>1.048513575318593</v>
      </c>
      <c r="O26" s="88">
        <f t="shared" si="7"/>
        <v>0</v>
      </c>
      <c r="P26" s="84">
        <f t="shared" si="8"/>
        <v>3009.6533665944808</v>
      </c>
      <c r="Q26" s="85">
        <f t="shared" si="0"/>
        <v>1</v>
      </c>
      <c r="R26" s="86">
        <f t="shared" si="1"/>
        <v>29.237358845066851</v>
      </c>
      <c r="S26" s="94">
        <f t="shared" si="2"/>
        <v>122.31209851495704</v>
      </c>
      <c r="T26" s="80">
        <f t="shared" si="9"/>
        <v>27.607450895542726</v>
      </c>
      <c r="W26" s="73"/>
    </row>
    <row r="27" spans="1:23" x14ac:dyDescent="0.25">
      <c r="H27" s="15">
        <f t="shared" si="3"/>
        <v>2041</v>
      </c>
      <c r="I27" s="97">
        <f t="shared" si="10"/>
        <v>5020.5065479385767</v>
      </c>
      <c r="J27" s="60">
        <f t="shared" si="4"/>
        <v>46991.941288705086</v>
      </c>
      <c r="K27" s="60">
        <f>IF(H27=Year_Open_to_Traffic?,Calculations!$E$4,K26+(K26*M27))</f>
        <v>43859.145202791427</v>
      </c>
      <c r="L27" s="60">
        <f>IF(AND(H27&gt;=Year_Open_to_Traffic?, Calculations!H27&lt;Year_Open_to_Traffic?+'Inputs &amp; Outputs'!B$21), 1, 0)</f>
        <v>1</v>
      </c>
      <c r="M27" s="81">
        <f t="shared" si="11"/>
        <v>4.0915914332859016E-2</v>
      </c>
      <c r="N27" s="87">
        <f t="shared" si="12"/>
        <v>1.0914144669431682</v>
      </c>
      <c r="O27" s="88">
        <f t="shared" si="7"/>
        <v>0</v>
      </c>
      <c r="P27" s="84">
        <f t="shared" si="8"/>
        <v>3132.7960859136583</v>
      </c>
      <c r="Q27" s="85">
        <f t="shared" si="0"/>
        <v>1</v>
      </c>
      <c r="R27" s="86">
        <f t="shared" si="1"/>
        <v>29.909818098503379</v>
      </c>
      <c r="S27" s="94">
        <f t="shared" si="2"/>
        <v>130.24489188643943</v>
      </c>
      <c r="T27" s="80">
        <f t="shared" si="9"/>
        <v>27.474754015078503</v>
      </c>
      <c r="W27" s="73"/>
    </row>
    <row r="28" spans="1:23" x14ac:dyDescent="0.25">
      <c r="H28" s="59">
        <f t="shared" si="3"/>
        <v>2042</v>
      </c>
      <c r="I28" s="97">
        <f t="shared" si="10"/>
        <v>5225.9251637615889</v>
      </c>
      <c r="J28" s="60">
        <f t="shared" si="4"/>
        <v>48914.65953280848</v>
      </c>
      <c r="K28" s="60">
        <f>IF(H28=Year_Open_to_Traffic?,Calculations!$E$4,K27+(K27*M28))</f>
        <v>45653.682230621263</v>
      </c>
      <c r="L28" s="60">
        <f>IF(AND(H28&gt;=Year_Open_to_Traffic?, Calculations!H28&lt;Year_Open_to_Traffic?+'Inputs &amp; Outputs'!B$21), 1, 0)</f>
        <v>1</v>
      </c>
      <c r="M28" s="81">
        <f t="shared" si="11"/>
        <v>4.0915914332859016E-2</v>
      </c>
      <c r="N28" s="87">
        <f t="shared" si="12"/>
        <v>1.1360706877742579</v>
      </c>
      <c r="O28" s="88">
        <f t="shared" si="7"/>
        <v>0</v>
      </c>
      <c r="P28" s="84">
        <f t="shared" si="8"/>
        <v>3260.977302187217</v>
      </c>
      <c r="Q28" s="85">
        <f t="shared" si="0"/>
        <v>1</v>
      </c>
      <c r="R28" s="86">
        <f t="shared" si="1"/>
        <v>30.597743914768959</v>
      </c>
      <c r="S28" s="94">
        <f t="shared" si="2"/>
        <v>138.69218228183607</v>
      </c>
      <c r="T28" s="80">
        <f t="shared" si="9"/>
        <v>27.342694950186324</v>
      </c>
      <c r="W28" s="73"/>
    </row>
    <row r="29" spans="1:23" x14ac:dyDescent="0.25">
      <c r="H29" s="15">
        <f t="shared" si="3"/>
        <v>2043</v>
      </c>
      <c r="I29" s="97">
        <f t="shared" si="10"/>
        <v>5439.7486700719901</v>
      </c>
      <c r="J29" s="60">
        <f t="shared" si="4"/>
        <v>50916.047551873839</v>
      </c>
      <c r="K29" s="60">
        <f>IF(H29=Year_Open_to_Traffic?,Calculations!$E$4,K28+(K28*M29))</f>
        <v>47521.644381748934</v>
      </c>
      <c r="L29" s="60">
        <f>IF(AND(H29&gt;=Year_Open_to_Traffic?, Calculations!H29&lt;Year_Open_to_Traffic?+'Inputs &amp; Outputs'!B$21), 1, 0)</f>
        <v>1</v>
      </c>
      <c r="M29" s="81">
        <f t="shared" si="11"/>
        <v>4.0915914332859016E-2</v>
      </c>
      <c r="N29" s="87">
        <f t="shared" si="12"/>
        <v>1.1825540587113017</v>
      </c>
      <c r="O29" s="88">
        <f t="shared" si="7"/>
        <v>0</v>
      </c>
      <c r="P29" s="84">
        <f t="shared" si="8"/>
        <v>3394.4031701249041</v>
      </c>
      <c r="Q29" s="85">
        <f t="shared" si="0"/>
        <v>1</v>
      </c>
      <c r="R29" s="86">
        <f t="shared" si="1"/>
        <v>31.301492024808638</v>
      </c>
      <c r="S29" s="94">
        <f t="shared" si="2"/>
        <v>147.68733842452326</v>
      </c>
      <c r="T29" s="80">
        <f t="shared" si="9"/>
        <v>27.211270635167061</v>
      </c>
      <c r="W29" s="73"/>
    </row>
    <row r="30" spans="1:23" x14ac:dyDescent="0.25">
      <c r="H30" s="15">
        <f t="shared" si="3"/>
        <v>2044</v>
      </c>
      <c r="I30" s="97">
        <f t="shared" si="10"/>
        <v>5662.320960648939</v>
      </c>
      <c r="J30" s="60">
        <f t="shared" si="4"/>
        <v>52999.324191674081</v>
      </c>
      <c r="K30" s="60">
        <f>IF(H30=Year_Open_to_Traffic?,Calculations!$E$4,K29+(K29*M30))</f>
        <v>49466.035912229163</v>
      </c>
      <c r="L30" s="60">
        <f>IF(AND(H30&gt;=Year_Open_to_Traffic?, Calculations!H30&lt;Year_Open_to_Traffic?+'Inputs &amp; Outputs'!B$21), 1, 0)</f>
        <v>1</v>
      </c>
      <c r="M30" s="81">
        <f t="shared" si="11"/>
        <v>4.0915914332859016E-2</v>
      </c>
      <c r="N30" s="87">
        <f t="shared" si="12"/>
        <v>1.230939339271508</v>
      </c>
      <c r="O30" s="88">
        <f t="shared" si="7"/>
        <v>0</v>
      </c>
      <c r="P30" s="84">
        <f t="shared" si="8"/>
        <v>3533.2882794449179</v>
      </c>
      <c r="Q30" s="85">
        <f t="shared" si="0"/>
        <v>1</v>
      </c>
      <c r="R30" s="86">
        <f t="shared" si="1"/>
        <v>32.021426341379232</v>
      </c>
      <c r="S30" s="94">
        <f t="shared" si="2"/>
        <v>157.26589323251454</v>
      </c>
      <c r="T30" s="80">
        <f t="shared" si="9"/>
        <v>27.08047801905715</v>
      </c>
      <c r="W30" s="73"/>
    </row>
    <row r="31" spans="1:23" x14ac:dyDescent="0.25">
      <c r="H31" s="15">
        <f t="shared" si="3"/>
        <v>2045</v>
      </c>
      <c r="I31" s="97">
        <f t="shared" si="10"/>
        <v>5894.0000000000027</v>
      </c>
      <c r="J31" s="60">
        <f t="shared" si="4"/>
        <v>55167.84000000004</v>
      </c>
      <c r="K31" s="60">
        <f>IF(H31=Year_Open_to_Traffic?,Calculations!$E$4,K30+(K30*M31))</f>
        <v>51489.984000000062</v>
      </c>
      <c r="L31" s="60">
        <f>IF(AND(H31&gt;=Year_Open_to_Traffic?, Calculations!H31&lt;Year_Open_to_Traffic?+'Inputs &amp; Outputs'!B$21), 1, 0)</f>
        <v>1</v>
      </c>
      <c r="M31" s="81">
        <f t="shared" si="11"/>
        <v>4.0915914332859016E-2</v>
      </c>
      <c r="N31" s="87">
        <f t="shared" si="12"/>
        <v>1.281304347826087</v>
      </c>
      <c r="O31" s="88">
        <f t="shared" si="7"/>
        <v>0</v>
      </c>
      <c r="P31" s="84">
        <f t="shared" si="8"/>
        <v>3677.8559999999779</v>
      </c>
      <c r="Q31" s="85">
        <f t="shared" si="0"/>
        <v>1</v>
      </c>
      <c r="R31" s="86">
        <f t="shared" si="1"/>
        <v>32.757919147230957</v>
      </c>
      <c r="S31" s="94">
        <f t="shared" si="2"/>
        <v>167.46568418158895</v>
      </c>
      <c r="T31" s="80">
        <f t="shared" si="9"/>
        <v>26.950314065557592</v>
      </c>
      <c r="W31" s="73"/>
    </row>
    <row r="32" spans="1:23" x14ac:dyDescent="0.25">
      <c r="H32" s="15">
        <f t="shared" si="3"/>
        <v>2046</v>
      </c>
      <c r="I32" s="97">
        <f t="shared" si="10"/>
        <v>6135.1583990778736</v>
      </c>
      <c r="J32" s="60">
        <f t="shared" si="4"/>
        <v>57425.082615368912</v>
      </c>
      <c r="K32" s="60">
        <f>IF(H32=Year_Open_to_Traffic?,Calculations!$E$4,K31+(K31*M32))</f>
        <v>53596.743774344344</v>
      </c>
      <c r="L32" s="60">
        <f>IF(AND(H32&gt;=Year_Open_to_Traffic?, Calculations!H32&lt;Year_Open_to_Traffic?+'Inputs &amp; Outputs'!B$21), 1, 0)</f>
        <v>1</v>
      </c>
      <c r="M32" s="81">
        <f t="shared" si="11"/>
        <v>4.0915914332859016E-2</v>
      </c>
      <c r="N32" s="87">
        <f t="shared" si="12"/>
        <v>1.3337300867560591</v>
      </c>
      <c r="O32" s="88">
        <f t="shared" si="7"/>
        <v>0</v>
      </c>
      <c r="P32" s="84">
        <f t="shared" si="8"/>
        <v>3828.338841024568</v>
      </c>
      <c r="Q32" s="85">
        <f t="shared" si="0"/>
        <v>1</v>
      </c>
      <c r="R32" s="86">
        <f t="shared" si="1"/>
        <v>33.511351287617266</v>
      </c>
      <c r="S32" s="94">
        <f t="shared" si="2"/>
        <v>178.32700277194934</v>
      </c>
      <c r="T32" s="80">
        <f t="shared" si="9"/>
        <v>26.820775752963616</v>
      </c>
      <c r="W32" s="73"/>
    </row>
    <row r="33" spans="8:23" x14ac:dyDescent="0.25">
      <c r="H33" s="15">
        <f t="shared" si="3"/>
        <v>2047</v>
      </c>
      <c r="I33" s="97">
        <f t="shared" si="10"/>
        <v>6386.1840145530641</v>
      </c>
      <c r="J33" s="60">
        <f t="shared" si="4"/>
        <v>59774.682376216697</v>
      </c>
      <c r="K33" s="60">
        <f>IF(H33=Year_Open_to_Traffic?,Calculations!$E$4,K32+(K32*M33))</f>
        <v>55789.703551135615</v>
      </c>
      <c r="L33" s="60">
        <f>IF(AND(H33&gt;=Year_Open_to_Traffic?, Calculations!H33&lt;Year_Open_to_Traffic?+'Inputs &amp; Outputs'!B$21), 1, 0)</f>
        <v>1</v>
      </c>
      <c r="M33" s="81">
        <f t="shared" si="11"/>
        <v>4.0915914332859016E-2</v>
      </c>
      <c r="N33" s="87">
        <f t="shared" si="12"/>
        <v>1.3883008727289265</v>
      </c>
      <c r="O33" s="88">
        <f t="shared" si="7"/>
        <v>0</v>
      </c>
      <c r="P33" s="84">
        <f t="shared" si="8"/>
        <v>3984.9788250810816</v>
      </c>
      <c r="Q33" s="85">
        <f t="shared" si="0"/>
        <v>1</v>
      </c>
      <c r="R33" s="86">
        <f t="shared" si="1"/>
        <v>34.282112367232457</v>
      </c>
      <c r="S33" s="94">
        <f t="shared" si="2"/>
        <v>189.89275368883554</v>
      </c>
      <c r="T33" s="80">
        <f t="shared" si="9"/>
        <v>26.691860074094347</v>
      </c>
      <c r="W33" s="73"/>
    </row>
    <row r="34" spans="8:23" x14ac:dyDescent="0.25">
      <c r="H34" s="15">
        <f t="shared" si="3"/>
        <v>2048</v>
      </c>
      <c r="I34" s="97">
        <f t="shared" si="10"/>
        <v>6647.4805726063914</v>
      </c>
      <c r="J34" s="60">
        <f t="shared" si="4"/>
        <v>62220.418159595836</v>
      </c>
      <c r="K34" s="60">
        <f>IF(H34=Year_Open_to_Traffic?,Calculations!$E$4,K33+(K33*M34))</f>
        <v>58072.390282289482</v>
      </c>
      <c r="L34" s="60">
        <f>IF(AND(H34&gt;=Year_Open_to_Traffic?, Calculations!H34&lt;Year_Open_to_Traffic?+'Inputs &amp; Outputs'!B$21), 1, 0)</f>
        <v>1</v>
      </c>
      <c r="M34" s="81">
        <f t="shared" si="11"/>
        <v>4.0915914332859016E-2</v>
      </c>
      <c r="N34" s="87">
        <f t="shared" si="12"/>
        <v>1.4451044723057367</v>
      </c>
      <c r="O34" s="88">
        <f t="shared" si="7"/>
        <v>0</v>
      </c>
      <c r="P34" s="84">
        <f t="shared" si="8"/>
        <v>4148.0278773063546</v>
      </c>
      <c r="Q34" s="85">
        <f t="shared" si="0"/>
        <v>1</v>
      </c>
      <c r="R34" s="86">
        <f t="shared" si="1"/>
        <v>35.070600951678806</v>
      </c>
      <c r="S34" s="94">
        <f t="shared" si="2"/>
        <v>202.20862428581609</v>
      </c>
      <c r="T34" s="80">
        <f t="shared" si="9"/>
        <v>26.563564036223234</v>
      </c>
      <c r="W34" s="73"/>
    </row>
    <row r="35" spans="8:23" x14ac:dyDescent="0.25">
      <c r="H35" s="15">
        <f t="shared" si="3"/>
        <v>2049</v>
      </c>
      <c r="I35" s="97">
        <f t="shared" si="10"/>
        <v>6919.4683182444987</v>
      </c>
      <c r="J35" s="60">
        <f t="shared" si="4"/>
        <v>64766.223458768523</v>
      </c>
      <c r="K35" s="60">
        <f>IF(H35=Year_Open_to_Traffic?,Calculations!$E$4,K34+(K34*M35))</f>
        <v>60448.47522818399</v>
      </c>
      <c r="L35" s="60">
        <f>IF(AND(H35&gt;=Year_Open_to_Traffic?, Calculations!H35&lt;Year_Open_to_Traffic?+'Inputs &amp; Outputs'!B$21), 1, 0)</f>
        <v>1</v>
      </c>
      <c r="M35" s="81">
        <f t="shared" si="11"/>
        <v>4.0915914332859016E-2</v>
      </c>
      <c r="N35" s="87">
        <f t="shared" si="12"/>
        <v>1.5042322430966297</v>
      </c>
      <c r="O35" s="88">
        <f t="shared" si="7"/>
        <v>0</v>
      </c>
      <c r="P35" s="84">
        <f t="shared" si="8"/>
        <v>4317.7482305845333</v>
      </c>
      <c r="Q35" s="85">
        <f t="shared" si="0"/>
        <v>1</v>
      </c>
      <c r="R35" s="86">
        <f t="shared" si="1"/>
        <v>35.877224773567399</v>
      </c>
      <c r="S35" s="94">
        <f t="shared" si="2"/>
        <v>215.32326506025234</v>
      </c>
      <c r="T35" s="80">
        <f t="shared" si="9"/>
        <v>26.435884661008373</v>
      </c>
      <c r="W35" s="73"/>
    </row>
    <row r="36" spans="8:23" x14ac:dyDescent="0.25">
      <c r="H36" s="15">
        <f t="shared" si="3"/>
        <v>2050</v>
      </c>
      <c r="I36" s="97">
        <f t="shared" si="10"/>
        <v>7202.584691182723</v>
      </c>
      <c r="J36" s="60">
        <f t="shared" si="4"/>
        <v>67416.192709470299</v>
      </c>
      <c r="K36" s="60">
        <f>IF(H36=Year_Open_to_Traffic?,Calculations!$E$4,K35+(K35*M36))</f>
        <v>62921.77986217232</v>
      </c>
      <c r="L36" s="60">
        <f>IF(AND(H36&gt;=Year_Open_to_Traffic?, Calculations!H36&lt;Year_Open_to_Traffic?+'Inputs &amp; Outputs'!B$21), 1, 0)</f>
        <v>1</v>
      </c>
      <c r="M36" s="81">
        <f t="shared" si="11"/>
        <v>4.0915914332859016E-2</v>
      </c>
      <c r="N36" s="87">
        <f t="shared" si="12"/>
        <v>1.5657792806918958</v>
      </c>
      <c r="O36" s="88">
        <f t="shared" si="7"/>
        <v>0</v>
      </c>
      <c r="P36" s="84">
        <f t="shared" si="8"/>
        <v>4494.4128472979792</v>
      </c>
      <c r="Q36" s="85">
        <f t="shared" si="0"/>
        <v>1</v>
      </c>
      <c r="R36" s="86">
        <f t="shared" si="1"/>
        <v>36.702400943359457</v>
      </c>
      <c r="S36" s="94">
        <f t="shared" si="2"/>
        <v>229.28848183385753</v>
      </c>
      <c r="T36" s="80">
        <f t="shared" si="9"/>
        <v>26.308818984423439</v>
      </c>
      <c r="W36" s="73"/>
    </row>
    <row r="37" spans="8:23" x14ac:dyDescent="0.25">
      <c r="H37" s="52"/>
      <c r="I37" s="52"/>
      <c r="J37" s="52"/>
      <c r="K37" s="52"/>
      <c r="L37" s="52"/>
      <c r="M37" s="75"/>
      <c r="N37" s="76"/>
      <c r="O37" s="77"/>
      <c r="P37" s="52"/>
      <c r="Q37" s="52"/>
      <c r="R37" s="52"/>
      <c r="S37" s="74"/>
      <c r="T37" s="80">
        <f>SUM(T4:T36)</f>
        <v>756.19006278412326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2018-07-16T14:36:56Z</cp:lastPrinted>
  <dcterms:created xsi:type="dcterms:W3CDTF">2012-07-25T15:48:32Z</dcterms:created>
  <dcterms:modified xsi:type="dcterms:W3CDTF">2018-10-31T19:36:10Z</dcterms:modified>
</cp:coreProperties>
</file>