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5_US90/"/>
    </mc:Choice>
  </mc:AlternateContent>
  <xr:revisionPtr revIDLastSave="11" documentId="8_{6E26818C-FAAA-4FFD-A5A5-F103E942EC60}" xr6:coauthVersionLast="40" xr6:coauthVersionMax="40" xr10:uidLastSave="{09398C5B-A8BB-4A7C-B355-0B682909401D}"/>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<sst xmlns="http://schemas.openxmlformats.org/spreadsheetml/2006/main" count="263" uniqueCount="131">
  <si>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</si>
  <si>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</si>
  <si>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</si>
  <si>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</si>
  <si>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</si>
  <si>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</si>
  <si>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</si>
  <si>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</si>
  <si>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</si>
  <si>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</si>
  <si>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</si>
  <si>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</si>
  <si>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</si>
  <si>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</si>
  <si>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</si>
  <si>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</si>
  <si>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</si>
  <si>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</si>
  <si>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</si>
  <si>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</si>
  <si>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</si>
  <si>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</si>
  <si>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</si>
  <si>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</si>
  <si>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</si>
  <si>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</si>
  <si>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</si>
  <si>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</si>
  <si>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</si>
  <si>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</si>
  <si>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</si>
  <si>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</si>
  <si>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</si>
  <si>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</si>
  <si>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</si>
  <si>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</si>
  <si>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</si>
  <si>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</si>
  <si>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</si>
  <si>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</si>
  <si>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</si>
  <si>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</si>
  <si>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</si>
  <si>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</si>
  <si>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</si>
  <si>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</si>
  <si>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</si>
  <si>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US 90 UPRR Overpass and Rail Relocation</t>
  </si>
  <si>
    <t>Data entered by the sponsors</t>
  </si>
  <si>
    <t>Application ID Number:</t>
  </si>
  <si>
    <t>Data populated/calculated based on inputs</t>
  </si>
  <si>
    <t>Sponsor ID Number (CSJ, etc.):</t>
  </si>
  <si>
    <t>N/A</t>
  </si>
  <si>
    <t xml:space="preserve">HGAC regional travel demand model data provided by HGAC </t>
  </si>
  <si>
    <t>Project County</t>
  </si>
  <si>
    <t>Liberty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</si>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</sst>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8" t="s">
        <v>11</v>
      </c>
      <c r="E6" s="99"/>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8" t="s">
        <v>11</v>
      </c>
      <c r="E6" s="99"/>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8" t="s">
        <v>37</v>
      </c>
      <c r="E8" s="99"/>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6" zoomScaleNormal="100" workbookViewId="0" xr3:uid="{51F8DEE0-4D01-5F28-A812-FC0BD7CAC4A5}">
      <selection activeCell="B18" sqref="B18"/>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ht="45">
      <c r="A6" s="5" t="s">
        <v>6</v>
      </c>
      <c r="B6" s="97" t="s">
        <v>47</v>
      </c>
      <c r="D6" s="5"/>
      <c r="E6" s="49" t="s">
        <v>48</v>
      </c>
    </row>
    <row r="7" spans="1:5">
      <c r="A7" s="5" t="s">
        <v>49</v>
      </c>
      <c r="B7" s="5">
        <v>253</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2024</v>
      </c>
    </row>
    <row r="14" spans="1:5">
      <c r="A14" s="5" t="s">
        <v>59</v>
      </c>
      <c r="B14" s="5" t="s">
        <v>60</v>
      </c>
    </row>
    <row r="15" spans="1:5">
      <c r="A15" s="85" t="s">
        <v>61</v>
      </c>
      <c r="B15" s="8" t="s">
        <v>62</v>
      </c>
    </row>
    <row r="16" spans="1:5">
      <c r="A16" s="85" t="s">
        <v>63</v>
      </c>
      <c r="B16" s="8">
        <v>1.22</v>
      </c>
    </row>
    <row r="17" spans="1:2">
      <c r="A17" s="86" t="s">
        <v>64</v>
      </c>
      <c r="B17" s="8">
        <v>32</v>
      </c>
    </row>
    <row r="18" spans="1:2">
      <c r="A18" s="86" t="s">
        <v>65</v>
      </c>
      <c r="B18" s="8">
        <v>38</v>
      </c>
    </row>
    <row r="19" spans="1:2">
      <c r="A19" s="76" t="s">
        <v>66</v>
      </c>
      <c r="B19" s="77">
        <f>VLOOKUP(B14,'Service Life'!C6:D8,2,FALSE)</f>
        <v>20</v>
      </c>
    </row>
    <row r="21" spans="1:2">
      <c r="A21" s="81" t="s">
        <v>67</v>
      </c>
    </row>
    <row r="22" spans="1:2" ht="20.25" customHeight="1">
      <c r="A22" s="86" t="s">
        <v>68</v>
      </c>
      <c r="B22" s="95">
        <v>21943</v>
      </c>
    </row>
    <row r="23" spans="1:2" ht="30">
      <c r="A23" s="94" t="s">
        <v>69</v>
      </c>
      <c r="B23" s="96">
        <v>24862</v>
      </c>
    </row>
    <row r="24" spans="1:2" ht="30">
      <c r="A24" s="94" t="s">
        <v>70</v>
      </c>
      <c r="B24" s="96">
        <v>41317</v>
      </c>
    </row>
    <row r="27" spans="1:2" ht="18.75">
      <c r="A27" s="79" t="s">
        <v>71</v>
      </c>
      <c r="B27" s="80"/>
    </row>
    <row r="29" spans="1:2">
      <c r="A29" s="87" t="s">
        <v>72</v>
      </c>
    </row>
    <row r="30" spans="1:2">
      <c r="A30" s="84" t="s">
        <v>73</v>
      </c>
      <c r="B30" s="35">
        <f>'Benefit Calculations'!M37</f>
        <v>2595.212948014067</v>
      </c>
    </row>
    <row r="31" spans="1:2">
      <c r="A31" s="84" t="s">
        <v>74</v>
      </c>
      <c r="B31" s="35">
        <f>'Benefit Calculations'!Q37</f>
        <v>520.66981490184025</v>
      </c>
    </row>
    <row r="32" spans="1:2">
      <c r="B32" s="88"/>
    </row>
    <row r="33" spans="1:9">
      <c r="A33" s="87" t="s">
        <v>75</v>
      </c>
      <c r="B33" s="88"/>
    </row>
    <row r="34" spans="1:9">
      <c r="A34" s="84" t="s">
        <v>76</v>
      </c>
      <c r="B34" s="35">
        <f>$B$30+$B$31</f>
        <v>3115.8827629159073</v>
      </c>
    </row>
    <row r="35" spans="1:9">
      <c r="I35" s="89"/>
    </row>
    <row r="36" spans="1:9">
      <c r="A36" s="87" t="s">
        <v>77</v>
      </c>
    </row>
    <row r="37" spans="1:9">
      <c r="A37" s="84" t="s">
        <v>78</v>
      </c>
      <c r="B37" s="91">
        <f>'Benefit Calculations'!K37</f>
        <v>0.95713695436597224</v>
      </c>
    </row>
    <row r="38" spans="1:9">
      <c r="A38" s="84" t="s">
        <v>79</v>
      </c>
      <c r="B38" s="91">
        <f>'Benefit Calculations'!O37</f>
        <v>0.75682029520145133</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9.2490501701799996E-2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2.2393299266700001E-2</v>
      </c>
      <c r="F4" s="54">
        <v>2018</v>
      </c>
      <c r="G4" s="63">
        <f>'Inputs &amp; Outputs'!B22</f>
        <v>21943</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8.7890602648299995E-2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1.8756100907899999E-2</v>
      </c>
      <c r="F5" s="54">
        <f t="shared" ref="F5:F36" si="2">F4+1</f>
        <v>2019</v>
      </c>
      <c r="G5" s="63">
        <f>G4+G4*H5</f>
        <v>22338.015243652579</v>
      </c>
      <c r="H5" s="62">
        <f>$C$9</f>
        <v>1.8001879581305058E-2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22740.14150415417</v>
      </c>
      <c r="H6" s="62">
        <f t="shared" ref="H6:H11" si="7">$C$9</f>
        <v>1.8001879581305058E-2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23149.50679317379</v>
      </c>
      <c r="H7" s="62">
        <f t="shared" si="7"/>
        <v>1.8001879581305058E-2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23566.241426831108</v>
      </c>
      <c r="H8" s="62">
        <f t="shared" si="7"/>
        <v>1.8001879581305058E-2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1.8001879581305058E-2</v>
      </c>
      <c r="F9" s="54">
        <f t="shared" si="2"/>
        <v>2023</v>
      </c>
      <c r="G9" s="63">
        <f t="shared" si="6"/>
        <v>23990.478067180884</v>
      </c>
      <c r="H9" s="62">
        <f t="shared" si="7"/>
        <v>1.8001879581305058E-2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2.0525142265600094E-2</v>
      </c>
      <c r="F10" s="54">
        <f t="shared" si="2"/>
        <v>2024</v>
      </c>
      <c r="G10" s="63">
        <f t="shared" si="6"/>
        <v>24422.351764444214</v>
      </c>
      <c r="H10" s="62">
        <f t="shared" si="7"/>
        <v>1.8001879581305058E-2</v>
      </c>
      <c r="I10" s="54">
        <f>IF(AND(F10&gt;='Inputs &amp; Outputs'!B$13,F10&lt;'Inputs &amp; Outputs'!B$13+'Inputs &amp; Outputs'!B$19),1,0)</f>
        <v>1</v>
      </c>
      <c r="J10" s="55">
        <f>I10*'Inputs &amp; Outputs'!B$16*'Benefit Calculations'!G10*('Benefit Calculations'!C$4-'Benefit Calculations'!C$5)</f>
        <v>137.05523037392345</v>
      </c>
      <c r="K10" s="71">
        <f t="shared" si="3"/>
        <v>3.9280190013514453E-2</v>
      </c>
      <c r="L10" s="56">
        <f>K10*'Assumed Values'!$C$8</f>
        <v>294.91566662146653</v>
      </c>
      <c r="M10" s="57">
        <f t="shared" si="0"/>
        <v>196.51476113487723</v>
      </c>
      <c r="N10" s="55">
        <f>I10*'Inputs &amp; Outputs'!B$16*'Benefit Calculations'!G10*('Benefit Calculations'!D$4-'Benefit Calculations'!D$5)</f>
        <v>108.37130406192084</v>
      </c>
      <c r="O10" s="71">
        <f t="shared" si="4"/>
        <v>3.1059343039669368E-2</v>
      </c>
      <c r="P10" s="56">
        <f>ABS(O10*'Assumed Values'!$C$7)</f>
        <v>59.168048490570143</v>
      </c>
      <c r="Q10" s="57">
        <f t="shared" si="1"/>
        <v>39.426169010089758</v>
      </c>
      <c r="T10" s="68">
        <f t="shared" si="5"/>
        <v>3.5634359897220101E-2</v>
      </c>
      <c r="U10" s="69">
        <f>T10*'Assumed Values'!$D$8</f>
        <v>0</v>
      </c>
    </row>
    <row r="11" spans="2:21">
      <c r="B11" s="15" t="s">
        <v>100</v>
      </c>
      <c r="C11" s="53">
        <f>('Inputs &amp; Outputs'!B24/'Inputs &amp; Outputs'!B22)^(1/(2045-2018))-1</f>
        <v>2.3714822980725359E-2</v>
      </c>
      <c r="F11" s="54">
        <f t="shared" si="2"/>
        <v>2025</v>
      </c>
      <c r="G11" s="63">
        <f>'Inputs &amp; Outputs'!$B$23</f>
        <v>24862</v>
      </c>
      <c r="H11" s="62">
        <f t="shared" si="7"/>
        <v>1.8001879581305058E-2</v>
      </c>
      <c r="I11" s="54">
        <f>IF(AND(F11&gt;='Inputs &amp; Outputs'!B$13,F11&lt;'Inputs &amp; Outputs'!B$13+'Inputs &amp; Outputs'!B$19),1,0)</f>
        <v>1</v>
      </c>
      <c r="J11" s="55">
        <f>I11*'Inputs &amp; Outputs'!B$16*'Benefit Calculations'!G11*('Benefit Calculations'!C$4-'Benefit Calculations'!C$5)</f>
        <v>139.52248212710276</v>
      </c>
      <c r="K11" s="71">
        <f t="shared" si="3"/>
        <v>3.9987307264068496E-2</v>
      </c>
      <c r="L11" s="56">
        <f>K11*'Assumed Values'!$C$8</f>
        <v>300.22470293862625</v>
      </c>
      <c r="M11" s="57">
        <f t="shared" si="0"/>
        <v>186.96485626240755</v>
      </c>
      <c r="N11" s="55">
        <f>I11*'Inputs &amp; Outputs'!B$16*'Benefit Calculations'!G11*('Benefit Calculations'!D$4-'Benefit Calculations'!D$5)</f>
        <v>110.32219122771247</v>
      </c>
      <c r="O11" s="71">
        <f t="shared" si="4"/>
        <v>3.1618469592943926E-2</v>
      </c>
      <c r="P11" s="56">
        <f>ABS(O11*'Assumed Values'!$C$7)</f>
        <v>60.23318457455818</v>
      </c>
      <c r="Q11" s="57">
        <f t="shared" si="1"/>
        <v>37.510200146693045</v>
      </c>
      <c r="T11" s="68">
        <f t="shared" si="5"/>
        <v>3.6275845353046718E-2</v>
      </c>
      <c r="U11" s="69">
        <f>T11*'Assumed Values'!$D$8</f>
        <v>0</v>
      </c>
    </row>
    <row r="12" spans="2:21">
      <c r="C12" s="38"/>
      <c r="F12" s="54">
        <f t="shared" si="2"/>
        <v>2026</v>
      </c>
      <c r="G12" s="63">
        <f t="shared" si="6"/>
        <v>25372.296087007351</v>
      </c>
      <c r="H12" s="62">
        <f>$C$10</f>
        <v>2.0525142265600094E-2</v>
      </c>
      <c r="I12" s="54">
        <f>IF(AND(F12&gt;='Inputs &amp; Outputs'!B$13,F12&lt;'Inputs &amp; Outputs'!B$13+'Inputs &amp; Outputs'!B$19),1,0)</f>
        <v>1</v>
      </c>
      <c r="J12" s="55">
        <f>I12*'Inputs &amp; Outputs'!B$16*'Benefit Calculations'!G12*('Benefit Calculations'!C$4-'Benefit Calculations'!C$5)</f>
        <v>142.3862009220112</v>
      </c>
      <c r="K12" s="71">
        <f t="shared" si="3"/>
        <v>4.0808052434481774E-2</v>
      </c>
      <c r="L12" s="56">
        <f>K12*'Assumed Values'!$C$8</f>
        <v>306.38685767808914</v>
      </c>
      <c r="M12" s="57">
        <f t="shared" si="0"/>
        <v>178.31994068772053</v>
      </c>
      <c r="N12" s="55">
        <f>I12*'Inputs &amp; Outputs'!B$16*'Benefit Calculations'!G12*('Benefit Calculations'!D$4-'Benefit Calculations'!D$5)</f>
        <v>112.58656989771401</v>
      </c>
      <c r="O12" s="71">
        <f t="shared" si="4"/>
        <v>3.2267443179559652E-2</v>
      </c>
      <c r="P12" s="56">
        <f>ABS(O12*'Assumed Values'!$C$7)</f>
        <v>61.469479257061138</v>
      </c>
      <c r="Q12" s="57">
        <f t="shared" si="1"/>
        <v>35.775796580481355</v>
      </c>
      <c r="T12" s="68">
        <f t="shared" si="5"/>
        <v>3.7020412239722918E-2</v>
      </c>
      <c r="U12" s="69">
        <f>T12*'Assumed Values'!$D$8</f>
        <v>0</v>
      </c>
    </row>
    <row r="13" spans="2:21">
      <c r="C13" s="38"/>
      <c r="F13" s="54">
        <f t="shared" si="2"/>
        <v>2027</v>
      </c>
      <c r="G13" s="63">
        <f t="shared" si="6"/>
        <v>25893.066073798105</v>
      </c>
      <c r="H13" s="62">
        <f t="shared" ref="H13:H36" si="8">$C$10</f>
        <v>2.0525142265600094E-2</v>
      </c>
      <c r="I13" s="54">
        <f>IF(AND(F13&gt;='Inputs &amp; Outputs'!B$13,F13&lt;'Inputs &amp; Outputs'!B$13+'Inputs &amp; Outputs'!B$19),1,0)</f>
        <v>1</v>
      </c>
      <c r="J13" s="55">
        <f>I13*'Inputs &amp; Outputs'!B$16*'Benefit Calculations'!G13*('Benefit Calculations'!C$4-'Benefit Calculations'!C$5)</f>
        <v>145.3086979525938</v>
      </c>
      <c r="K13" s="71">
        <f t="shared" si="3"/>
        <v>4.1645643516281583E-2</v>
      </c>
      <c r="L13" s="56">
        <f>K13*'Assumed Values'!$C$8</f>
        <v>312.67549152024213</v>
      </c>
      <c r="M13" s="57">
        <f t="shared" si="0"/>
        <v>170.07475031694335</v>
      </c>
      <c r="N13" s="55">
        <f>I13*'Inputs &amp; Outputs'!B$16*'Benefit Calculations'!G13*('Benefit Calculations'!D$4-'Benefit Calculations'!D$5)</f>
        <v>114.89742526206052</v>
      </c>
      <c r="O13" s="71">
        <f t="shared" si="4"/>
        <v>3.2929737041367278E-2</v>
      </c>
      <c r="P13" s="56">
        <f>ABS(O13*'Assumed Values'!$C$7)</f>
        <v>62.731149063804665</v>
      </c>
      <c r="Q13" s="57">
        <f t="shared" si="1"/>
        <v>34.121588686879342</v>
      </c>
      <c r="T13" s="68">
        <f t="shared" si="5"/>
        <v>3.7780261467674388E-2</v>
      </c>
      <c r="U13" s="69">
        <f>T13*'Assumed Values'!$D$8</f>
        <v>0</v>
      </c>
    </row>
    <row r="14" spans="2:21">
      <c r="C14" s="38"/>
      <c r="F14" s="54">
        <f t="shared" si="2"/>
        <v>2028</v>
      </c>
      <c r="G14" s="63">
        <f t="shared" si="6"/>
        <v>26424.524938655395</v>
      </c>
      <c r="H14" s="62">
        <f t="shared" si="8"/>
        <v>2.0525142265600094E-2</v>
      </c>
      <c r="I14" s="54">
        <f>IF(AND(F14&gt;='Inputs &amp; Outputs'!B$13,F14&lt;'Inputs &amp; Outputs'!B$13+'Inputs &amp; Outputs'!B$19),1,0)</f>
        <v>1</v>
      </c>
      <c r="J14" s="55">
        <f>I14*'Inputs &amp; Outputs'!B$16*'Benefit Calculations'!G14*('Benefit Calculations'!C$4-'Benefit Calculations'!C$5)</f>
        <v>148.29117965049988</v>
      </c>
      <c r="K14" s="71">
        <f t="shared" si="3"/>
        <v>4.2500426274195716E-2</v>
      </c>
      <c r="L14" s="56">
        <f>K14*'Assumed Values'!$C$8</f>
        <v>319.09320046666141</v>
      </c>
      <c r="M14" s="57">
        <f t="shared" si="0"/>
        <v>162.21080258222892</v>
      </c>
      <c r="N14" s="55">
        <f>I14*'Inputs &amp; Outputs'!B$16*'Benefit Calculations'!G14*('Benefit Calculations'!D$4-'Benefit Calculations'!D$5)</f>
        <v>117.25571126151547</v>
      </c>
      <c r="O14" s="71">
        <f t="shared" si="4"/>
        <v>3.360562457891015E-2</v>
      </c>
      <c r="P14" s="56">
        <f>ABS(O14*'Assumed Values'!$C$7)</f>
        <v>64.018714822823839</v>
      </c>
      <c r="Q14" s="57">
        <f t="shared" si="1"/>
        <v>32.543868363556861</v>
      </c>
      <c r="T14" s="68">
        <f t="shared" si="5"/>
        <v>3.8555706709129972E-2</v>
      </c>
      <c r="U14" s="69">
        <f>T14*'Assumed Values'!$D$8</f>
        <v>0</v>
      </c>
    </row>
    <row r="15" spans="2:21">
      <c r="C15" s="1"/>
      <c r="F15" s="54">
        <f t="shared" si="2"/>
        <v>2029</v>
      </c>
      <c r="G15" s="63">
        <f t="shared" si="6"/>
        <v>26966.892072322196</v>
      </c>
      <c r="H15" s="62">
        <f t="shared" si="8"/>
        <v>2.0525142265600094E-2</v>
      </c>
      <c r="I15" s="54">
        <f>IF(AND(F15&gt;='Inputs &amp; Outputs'!B$13,F15&lt;'Inputs &amp; Outputs'!B$13+'Inputs &amp; Outputs'!B$19),1,0)</f>
        <v>1</v>
      </c>
      <c r="J15" s="55">
        <f>I15*'Inputs &amp; Outputs'!B$16*'Benefit Calculations'!G15*('Benefit Calculations'!C$4-'Benefit Calculations'!C$5)</f>
        <v>151.33487720956009</v>
      </c>
      <c r="K15" s="71">
        <f t="shared" si="3"/>
        <v>4.3372753569822245E-2</v>
      </c>
      <c r="L15" s="56">
        <f>K15*'Assumed Values'!$C$8</f>
        <v>325.64263380222542</v>
      </c>
      <c r="M15" s="57">
        <f t="shared" si="0"/>
        <v>154.71046951611814</v>
      </c>
      <c r="N15" s="55">
        <f>I15*'Inputs &amp; Outputs'!B$16*'Benefit Calculations'!G15*('Benefit Calculations'!D$4-'Benefit Calculations'!D$5)</f>
        <v>119.66240141661221</v>
      </c>
      <c r="O15" s="71">
        <f t="shared" si="4"/>
        <v>3.4295384804316625E-2</v>
      </c>
      <c r="P15" s="56">
        <f>ABS(O15*'Assumed Values'!$C$7)</f>
        <v>65.332708052223168</v>
      </c>
      <c r="Q15" s="57">
        <f t="shared" si="1"/>
        <v>31.039098964104504</v>
      </c>
      <c r="T15" s="68">
        <f t="shared" si="5"/>
        <v>3.9347068074485625E-2</v>
      </c>
      <c r="U15" s="69">
        <f>T15*'Assumed Values'!$D$8</f>
        <v>0</v>
      </c>
    </row>
    <row r="16" spans="2:21">
      <c r="C16" s="1"/>
      <c r="F16" s="54">
        <f t="shared" si="2"/>
        <v>2030</v>
      </c>
      <c r="G16" s="63">
        <f t="shared" si="6"/>
        <v>27520.391368567693</v>
      </c>
      <c r="H16" s="62">
        <f t="shared" si="8"/>
        <v>2.0525142265600094E-2</v>
      </c>
      <c r="I16" s="54">
        <f>IF(AND(F16&gt;='Inputs &amp; Outputs'!B$13,F16&lt;'Inputs &amp; Outputs'!B$13+'Inputs &amp; Outputs'!B$19),1,0)</f>
        <v>1</v>
      </c>
      <c r="J16" s="55">
        <f>I16*'Inputs &amp; Outputs'!B$16*'Benefit Calculations'!G16*('Benefit Calculations'!C$4-'Benefit Calculations'!C$5)</f>
        <v>154.44104709403342</v>
      </c>
      <c r="K16" s="71">
        <f t="shared" si="3"/>
        <v>4.4262985507293656E-2</v>
      </c>
      <c r="L16" s="56">
        <f>K16*'Assumed Values'!$C$8</f>
        <v>332.32649518876076</v>
      </c>
      <c r="M16" s="57">
        <f t="shared" si="0"/>
        <v>147.55693823636847</v>
      </c>
      <c r="N16" s="55">
        <f>I16*'Inputs &amp; Outputs'!B$16*'Benefit Calculations'!G16*('Benefit Calculations'!D$4-'Benefit Calculations'!D$5)</f>
        <v>122.11848922953153</v>
      </c>
      <c r="O16" s="71">
        <f t="shared" si="4"/>
        <v>3.4999302456478726E-2</v>
      </c>
      <c r="P16" s="56">
        <f>ABS(O16*'Assumed Values'!$C$7)</f>
        <v>66.673671179591977</v>
      </c>
      <c r="Q16" s="57">
        <f t="shared" si="1"/>
        <v>29.60390737022318</v>
      </c>
      <c r="T16" s="68">
        <f t="shared" si="5"/>
        <v>4.0154672244448686E-2</v>
      </c>
      <c r="U16" s="69">
        <f>T16*'Assumed Values'!$D$8</f>
        <v>0</v>
      </c>
    </row>
    <row r="17" spans="3:21">
      <c r="C17" s="1"/>
      <c r="F17" s="54">
        <f t="shared" si="2"/>
        <v>2031</v>
      </c>
      <c r="G17" s="63">
        <f t="shared" si="6"/>
        <v>28085.251316612535</v>
      </c>
      <c r="H17" s="62">
        <f t="shared" si="8"/>
        <v>2.0525142265600094E-2</v>
      </c>
      <c r="I17" s="54">
        <f>IF(AND(F17&gt;='Inputs &amp; Outputs'!B$13,F17&lt;'Inputs &amp; Outputs'!B$13+'Inputs &amp; Outputs'!B$19),1,0)</f>
        <v>1</v>
      </c>
      <c r="J17" s="55">
        <f>I17*'Inputs &amp; Outputs'!B$16*'Benefit Calculations'!G17*('Benefit Calculations'!C$4-'Benefit Calculations'!C$5)</f>
        <v>157.61097155728669</v>
      </c>
      <c r="K17" s="71">
        <f t="shared" si="3"/>
        <v>4.5171489581931047E-2</v>
      </c>
      <c r="L17" s="56">
        <f>K17*'Assumed Values'!$C$8</f>
        <v>339.14754378113832</v>
      </c>
      <c r="M17" s="57">
        <f t="shared" si="0"/>
        <v>140.7341732578937</v>
      </c>
      <c r="N17" s="55">
        <f>I17*'Inputs &amp; Outputs'!B$16*'Benefit Calculations'!G17*('Benefit Calculations'!D$4-'Benefit Calculations'!D$5)</f>
        <v>124.6249885942278</v>
      </c>
      <c r="O17" s="71">
        <f t="shared" si="4"/>
        <v>3.5717668118594711E-2</v>
      </c>
      <c r="P17" s="56">
        <f>ABS(O17*'Assumed Values'!$C$7)</f>
        <v>68.042157765922923</v>
      </c>
      <c r="Q17" s="57">
        <f t="shared" si="1"/>
        <v>28.235076430480976</v>
      </c>
      <c r="T17" s="68">
        <f t="shared" si="5"/>
        <v>4.097885260489454E-2</v>
      </c>
      <c r="U17" s="69">
        <f>T17*'Assumed Values'!$D$8</f>
        <v>0</v>
      </c>
    </row>
    <row r="18" spans="3:21">
      <c r="F18" s="54">
        <f t="shared" si="2"/>
        <v>2032</v>
      </c>
      <c r="G18" s="63">
        <f t="shared" si="6"/>
        <v>28661.70509545114</v>
      </c>
      <c r="H18" s="62">
        <f t="shared" si="8"/>
        <v>2.0525142265600094E-2</v>
      </c>
      <c r="I18" s="54">
        <f>IF(AND(F18&gt;='Inputs &amp; Outputs'!B$13,F18&lt;'Inputs &amp; Outputs'!B$13+'Inputs &amp; Outputs'!B$19),1,0)</f>
        <v>1</v>
      </c>
      <c r="J18" s="55">
        <f>I18*'Inputs &amp; Outputs'!B$16*'Benefit Calculations'!G18*('Benefit Calculations'!C$4-'Benefit Calculations'!C$5)</f>
        <v>160.84595917111943</v>
      </c>
      <c r="K18" s="71">
        <f t="shared" si="3"/>
        <v>4.6098640831949249E-2</v>
      </c>
      <c r="L18" s="56">
        <f>K18*'Assumed Values'!$C$8</f>
        <v>346.10859536627498</v>
      </c>
      <c r="M18" s="57">
        <f t="shared" si="0"/>
        <v>134.22688054733044</v>
      </c>
      <c r="N18" s="55">
        <f>I18*'Inputs &amp; Outputs'!B$16*'Benefit Calculations'!G18*('Benefit Calculations'!D$4-'Benefit Calculations'!D$5)</f>
        <v>127.1829342149731</v>
      </c>
      <c r="O18" s="71">
        <f t="shared" si="4"/>
        <v>3.6450778338124358E-2</v>
      </c>
      <c r="P18" s="56">
        <f>ABS(O18*'Assumed Values'!$C$7)</f>
        <v>69.438732734126901</v>
      </c>
      <c r="Q18" s="57">
        <f t="shared" si="1"/>
        <v>26.929537748688499</v>
      </c>
      <c r="T18" s="68">
        <f t="shared" si="5"/>
        <v>4.1819949384491052E-2</v>
      </c>
      <c r="U18" s="69">
        <f>T18*'Assumed Values'!$D$8</f>
        <v>0</v>
      </c>
    </row>
    <row r="19" spans="3:21">
      <c r="F19" s="54">
        <f t="shared" si="2"/>
        <v>2033</v>
      </c>
      <c r="G19" s="63">
        <f t="shared" si="6"/>
        <v>29249.99067010995</v>
      </c>
      <c r="H19" s="62">
        <f t="shared" si="8"/>
        <v>2.0525142265600094E-2</v>
      </c>
      <c r="I19" s="54">
        <f>IF(AND(F19&gt;='Inputs &amp; Outputs'!B$13,F19&lt;'Inputs &amp; Outputs'!B$13+'Inputs &amp; Outputs'!B$19),1,0)</f>
        <v>1</v>
      </c>
      <c r="J19" s="55">
        <f>I19*'Inputs &amp; Outputs'!B$16*'Benefit Calculations'!G19*('Benefit Calculations'!C$4-'Benefit Calculations'!C$5)</f>
        <v>164.14734536595358</v>
      </c>
      <c r="K19" s="71">
        <f t="shared" si="3"/>
        <v>4.7044821993275816E-2</v>
      </c>
      <c r="L19" s="56">
        <f>K19*'Assumed Values'!$C$8</f>
        <v>353.21252352551483</v>
      </c>
      <c r="M19" s="57">
        <f t="shared" si="0"/>
        <v>128.02047323965618</v>
      </c>
      <c r="N19" s="55">
        <f>I19*'Inputs &amp; Outputs'!B$16*'Benefit Calculations'!G19*('Benefit Calculations'!D$4-'Benefit Calculations'!D$5)</f>
        <v>129.79338203349189</v>
      </c>
      <c r="O19" s="71">
        <f t="shared" si="4"/>
        <v>3.7198935749206213E-2</v>
      </c>
      <c r="P19" s="56">
        <f>ABS(O19*'Assumed Values'!$C$7)</f>
        <v>70.863972602237837</v>
      </c>
      <c r="Q19" s="57">
        <f t="shared" si="1"/>
        <v>25.684364805726332</v>
      </c>
      <c r="T19" s="68">
        <f t="shared" si="5"/>
        <v>4.2678309795147931E-2</v>
      </c>
      <c r="U19" s="69">
        <f>T19*'Assumed Values'!$D$8</f>
        <v>0</v>
      </c>
    </row>
    <row r="20" spans="3:21">
      <c r="F20" s="54">
        <f t="shared" si="2"/>
        <v>2034</v>
      </c>
      <c r="G20" s="63">
        <f t="shared" si="6"/>
        <v>29850.350889881433</v>
      </c>
      <c r="H20" s="62">
        <f t="shared" si="8"/>
        <v>2.0525142265600094E-2</v>
      </c>
      <c r="I20" s="54">
        <f>IF(AND(F20&gt;='Inputs &amp; Outputs'!B$13,F20&lt;'Inputs &amp; Outputs'!B$13+'Inputs &amp; Outputs'!B$19),1,0)</f>
        <v>1</v>
      </c>
      <c r="J20" s="55">
        <f>I20*'Inputs &amp; Outputs'!B$16*'Benefit Calculations'!G20*('Benefit Calculations'!C$4-'Benefit Calculations'!C$5)</f>
        <v>167.51649298211035</v>
      </c>
      <c r="K20" s="71">
        <f t="shared" si="3"/>
        <v>4.8010423657547631E-2</v>
      </c>
      <c r="L20" s="56">
        <f>K20*'Assumed Values'!$C$8</f>
        <v>360.46226082086764</v>
      </c>
      <c r="M20" s="57">
        <f t="shared" si="0"/>
        <v>122.10103894000896</v>
      </c>
      <c r="N20" s="55">
        <f>I20*'Inputs &amp; Outputs'!B$16*'Benefit Calculations'!G20*('Benefit Calculations'!D$4-'Benefit Calculations'!D$5)</f>
        <v>132.45740966486269</v>
      </c>
      <c r="O20" s="71">
        <f t="shared" si="4"/>
        <v>3.7962449197587594E-2</v>
      </c>
      <c r="P20" s="56">
        <f>ABS(O20*'Assumed Values'!$C$7)</f>
        <v>72.318465721404365</v>
      </c>
      <c r="Q20" s="57">
        <f t="shared" si="1"/>
        <v>24.496766399406958</v>
      </c>
      <c r="T20" s="68">
        <f t="shared" si="5"/>
        <v>4.3554288175348697E-2</v>
      </c>
      <c r="U20" s="69">
        <f>T20*'Assumed Values'!$D$8</f>
        <v>0</v>
      </c>
    </row>
    <row r="21" spans="3:21">
      <c r="F21" s="54">
        <f t="shared" si="2"/>
        <v>2035</v>
      </c>
      <c r="G21" s="63">
        <f t="shared" si="6"/>
        <v>30463.03358857433</v>
      </c>
      <c r="H21" s="62">
        <f t="shared" si="8"/>
        <v>2.0525142265600094E-2</v>
      </c>
      <c r="I21" s="54">
        <f>IF(AND(F21&gt;='Inputs &amp; Outputs'!B$13,F21&lt;'Inputs &amp; Outputs'!B$13+'Inputs &amp; Outputs'!B$19),1,0)</f>
        <v>1</v>
      </c>
      <c r="J21" s="55">
        <f>I21*'Inputs &amp; Outputs'!B$16*'Benefit Calculations'!G21*('Benefit Calculations'!C$4-'Benefit Calculations'!C$5)</f>
        <v>170.95479283240257</v>
      </c>
      <c r="K21" s="71">
        <f t="shared" si="3"/>
        <v>4.8995844433350533E-2</v>
      </c>
      <c r="L21" s="56">
        <f>K21*'Assumed Values'!$C$8</f>
        <v>367.86080000559582</v>
      </c>
      <c r="M21" s="57">
        <f t="shared" si="0"/>
        <v>116.45530853741143</v>
      </c>
      <c r="N21" s="55">
        <f>I21*'Inputs &amp; Outputs'!B$16*'Benefit Calculations'!G21*('Benefit Calculations'!D$4-'Benefit Calculations'!D$5)</f>
        <v>135.17611684236687</v>
      </c>
      <c r="O21" s="71">
        <f t="shared" si="4"/>
        <v>3.8741633868118686E-2</v>
      </c>
      <c r="P21" s="56">
        <f>ABS(O21*'Assumed Values'!$C$7)</f>
        <v>73.802812518766089</v>
      </c>
      <c r="Q21" s="57">
        <f t="shared" si="1"/>
        <v>23.364080387665371</v>
      </c>
      <c r="T21" s="68">
        <f t="shared" si="5"/>
        <v>4.4448246136424667E-2</v>
      </c>
      <c r="U21" s="69">
        <f>T21*'Assumed Values'!$D$8</f>
        <v>0</v>
      </c>
    </row>
    <row r="22" spans="3:21">
      <c r="F22" s="54">
        <f t="shared" si="2"/>
        <v>2036</v>
      </c>
      <c r="G22" s="63">
        <f t="shared" si="6"/>
        <v>31088.291686821573</v>
      </c>
      <c r="H22" s="62">
        <f t="shared" si="8"/>
        <v>2.0525142265600094E-2</v>
      </c>
      <c r="I22" s="54">
        <f>IF(AND(F22&gt;='Inputs &amp; Outputs'!B$13,F22&lt;'Inputs &amp; Outputs'!B$13+'Inputs &amp; Outputs'!B$19),1,0)</f>
        <v>1</v>
      </c>
      <c r="J22" s="55">
        <f>I22*'Inputs &amp; Outputs'!B$16*'Benefit Calculations'!G22*('Benefit Calculations'!C$4-'Benefit Calculations'!C$5)</f>
        <v>174.46366427627385</v>
      </c>
      <c r="K22" s="71">
        <f t="shared" si="3"/>
        <v>5.0001491110768265E-2</v>
      </c>
      <c r="L22" s="56">
        <f>K22*'Assumed Values'!$C$8</f>
        <v>375.41119525964814</v>
      </c>
      <c r="M22" s="57">
        <f t="shared" si="0"/>
        <v>111.07062646049172</v>
      </c>
      <c r="N22" s="55">
        <f>I22*'Inputs &amp; Outputs'!B$16*'Benefit Calculations'!G22*('Benefit Calculations'!D$4-'Benefit Calculations'!D$5)</f>
        <v>137.95062587146785</v>
      </c>
      <c r="O22" s="71">
        <f t="shared" si="4"/>
        <v>3.9536811414863621E-2</v>
      </c>
      <c r="P22" s="56">
        <f>ABS(O22*'Assumed Values'!$C$7)</f>
        <v>75.317625745315198</v>
      </c>
      <c r="Q22" s="57">
        <f t="shared" si="1"/>
        <v>22.28376772105339</v>
      </c>
      <c r="T22" s="68">
        <f t="shared" si="5"/>
        <v>4.5360552711831204E-2</v>
      </c>
      <c r="U22" s="69">
        <f>T22*'Assumed Values'!$D$8</f>
        <v>0</v>
      </c>
    </row>
    <row r="23" spans="3:21">
      <c r="F23" s="54">
        <f t="shared" si="2"/>
        <v>2037</v>
      </c>
      <c r="G23" s="63">
        <f t="shared" si="6"/>
        <v>31726.383296488057</v>
      </c>
      <c r="H23" s="62">
        <f t="shared" si="8"/>
        <v>2.0525142265600094E-2</v>
      </c>
      <c r="I23" s="54">
        <f>IF(AND(F23&gt;='Inputs &amp; Outputs'!B$13,F23&lt;'Inputs &amp; Outputs'!B$13+'Inputs &amp; Outputs'!B$19),1,0)</f>
        <v>1</v>
      </c>
      <c r="J23" s="55">
        <f>I23*'Inputs &amp; Outputs'!B$16*'Benefit Calculations'!G23*('Benefit Calculations'!C$4-'Benefit Calculations'!C$5)</f>
        <v>178.04455580572224</v>
      </c>
      <c r="K23" s="71">
        <f t="shared" si="3"/>
        <v>5.1027778829308916E-2</v>
      </c>
      <c r="L23" s="56">
        <f>K23*'Assumed Values'!$C$8</f>
        <v>383.11656345045134</v>
      </c>
      <c r="M23" s="57">
        <f t="shared" si="0"/>
        <v>105.93492230852581</v>
      </c>
      <c r="N23" s="55">
        <f>I23*'Inputs &amp; Outputs'!B$16*'Benefit Calculations'!G23*('Benefit Calculations'!D$4-'Benefit Calculations'!D$5)</f>
        <v>140.78208209310827</v>
      </c>
      <c r="O23" s="71">
        <f t="shared" si="4"/>
        <v>4.0348310093881894E-2</v>
      </c>
      <c r="P23" s="56">
        <f>ABS(O23*'Assumed Values'!$C$7)</f>
        <v>76.863530728845006</v>
      </c>
      <c r="Q23" s="57">
        <f t="shared" si="1"/>
        <v>21.253406751160369</v>
      </c>
      <c r="T23" s="68">
        <f t="shared" si="5"/>
        <v>4.6291584509487782E-2</v>
      </c>
      <c r="U23" s="69">
        <f>T23*'Assumed Values'!$D$8</f>
        <v>0</v>
      </c>
    </row>
    <row r="24" spans="3:21">
      <c r="F24" s="54">
        <f t="shared" si="2"/>
        <v>2038</v>
      </c>
      <c r="G24" s="63">
        <f t="shared" si="6"/>
        <v>32377.571827221433</v>
      </c>
      <c r="H24" s="62">
        <f t="shared" si="8"/>
        <v>2.0525142265600094E-2</v>
      </c>
      <c r="I24" s="54">
        <f>IF(AND(F24&gt;='Inputs &amp; Outputs'!B$13,F24&lt;'Inputs &amp; Outputs'!B$13+'Inputs &amp; Outputs'!B$19),1,0)</f>
        <v>1</v>
      </c>
      <c r="J24" s="55">
        <f>I24*'Inputs &amp; Outputs'!B$16*'Benefit Calculations'!G24*('Benefit Calculations'!C$4-'Benefit Calculations'!C$5)</f>
        <v>181.69894564325028</v>
      </c>
      <c r="K24" s="71">
        <f t="shared" si="3"/>
        <v>5.2075131249278067E-2</v>
      </c>
      <c r="L24" s="56">
        <f>K24*'Assumed Values'!$C$8</f>
        <v>390.98008541957972</v>
      </c>
      <c r="M24" s="57">
        <f t="shared" si="0"/>
        <v>101.036683794209</v>
      </c>
      <c r="N24" s="55">
        <f>I24*'Inputs &amp; Outputs'!B$16*'Benefit Calculations'!G24*('Benefit Calculations'!D$4-'Benefit Calculations'!D$5)</f>
        <v>143.67165435651674</v>
      </c>
      <c r="O24" s="71">
        <f t="shared" si="4"/>
        <v>4.1176464898735374E-2</v>
      </c>
      <c r="P24" s="56">
        <f>ABS(O24*'Assumed Values'!$C$7)</f>
        <v>78.441165632090886</v>
      </c>
      <c r="Q24" s="57">
        <f t="shared" si="1"/>
        <v>20.270687802202435</v>
      </c>
      <c r="T24" s="68">
        <f t="shared" si="5"/>
        <v>4.724172586724508E-2</v>
      </c>
      <c r="U24" s="69">
        <f>T24*'Assumed Values'!$D$8</f>
        <v>0</v>
      </c>
    </row>
    <row r="25" spans="3:21">
      <c r="F25" s="54">
        <f t="shared" si="2"/>
        <v>2039</v>
      </c>
      <c r="G25" s="63">
        <f t="shared" si="6"/>
        <v>33042.126095189837</v>
      </c>
      <c r="H25" s="62">
        <f t="shared" si="8"/>
        <v>2.0525142265600094E-2</v>
      </c>
      <c r="I25" s="54">
        <f>IF(AND(F25&gt;='Inputs &amp; Outputs'!B$13,F25&lt;'Inputs &amp; Outputs'!B$13+'Inputs &amp; Outputs'!B$19),1,0)</f>
        <v>1</v>
      </c>
      <c r="J25" s="55">
        <f>I25*'Inputs &amp; Outputs'!B$16*'Benefit Calculations'!G25*('Benefit Calculations'!C$4-'Benefit Calculations'!C$5)</f>
        <v>185.42834235208753</v>
      </c>
      <c r="K25" s="71">
        <f t="shared" si="3"/>
        <v>5.3143980726669295E-2</v>
      </c>
      <c r="L25" s="56">
        <f>K25*'Assumed Values'!$C$8</f>
        <v>399.00500729583308</v>
      </c>
      <c r="M25" s="57">
        <f t="shared" si="0"/>
        <v>96.364930937504283</v>
      </c>
      <c r="N25" s="55">
        <f>I25*'Inputs &amp; Outputs'!B$16*'Benefit Calculations'!G25*('Benefit Calculations'!D$4-'Benefit Calculations'!D$5)</f>
        <v>146.62053550171836</v>
      </c>
      <c r="O25" s="71">
        <f t="shared" si="4"/>
        <v>4.2021617698776409E-2</v>
      </c>
      <c r="P25" s="56">
        <f>ABS(O25*'Assumed Values'!$C$7)</f>
        <v>80.051181716169054</v>
      </c>
      <c r="Q25" s="57">
        <f t="shared" si="1"/>
        <v>19.333407993611406</v>
      </c>
      <c r="T25" s="68">
        <f t="shared" si="5"/>
        <v>4.8211369011542757E-2</v>
      </c>
      <c r="U25" s="69">
        <f>T25*'Assumed Values'!$D$8</f>
        <v>0</v>
      </c>
    </row>
    <row r="26" spans="3:21">
      <c r="F26" s="54">
        <f t="shared" si="2"/>
        <v>2040</v>
      </c>
      <c r="G26" s="63">
        <f t="shared" si="6"/>
        <v>33720.320434051508</v>
      </c>
      <c r="H26" s="62">
        <f t="shared" si="8"/>
        <v>2.0525142265600094E-2</v>
      </c>
      <c r="I26" s="54">
        <f>IF(AND(F26&gt;='Inputs &amp; Outputs'!B$13,F26&lt;'Inputs &amp; Outputs'!B$13+'Inputs &amp; Outputs'!B$19),1,0)</f>
        <v>1</v>
      </c>
      <c r="J26" s="55">
        <f>I26*'Inputs &amp; Outputs'!B$16*'Benefit Calculations'!G26*('Benefit Calculations'!C$4-'Benefit Calculations'!C$5)</f>
        <v>189.23428545893853</v>
      </c>
      <c r="K26" s="71">
        <f t="shared" si="3"/>
        <v>5.4234768491644492E-2</v>
      </c>
      <c r="L26" s="56">
        <f>K26*'Assumed Values'!$C$8</f>
        <v>407.19464183526685</v>
      </c>
      <c r="M26" s="57">
        <f t="shared" si="0"/>
        <v>91.909191452720833</v>
      </c>
      <c r="N26" s="55">
        <f>I26*'Inputs &amp; Outputs'!B$16*'Benefit Calculations'!G26*('Benefit Calculations'!D$4-'Benefit Calculations'!D$5)</f>
        <v>149.62994285194961</v>
      </c>
      <c r="O26" s="71">
        <f t="shared" si="4"/>
        <v>4.288411738027445E-2</v>
      </c>
      <c r="P26" s="56">
        <f>ABS(O26*'Assumed Values'!$C$7)</f>
        <v>81.694243609422827</v>
      </c>
      <c r="Q26" s="57">
        <f t="shared" si="1"/>
        <v>18.439466302017916</v>
      </c>
      <c r="T26" s="68">
        <f t="shared" si="5"/>
        <v>4.9200914219324016E-2</v>
      </c>
      <c r="U26" s="69">
        <f>T26*'Assumed Values'!$D$8</f>
        <v>0</v>
      </c>
    </row>
    <row r="27" spans="3:21">
      <c r="F27" s="54">
        <f t="shared" si="2"/>
        <v>2041</v>
      </c>
      <c r="G27" s="63">
        <f t="shared" si="6"/>
        <v>34412.434808202037</v>
      </c>
      <c r="H27" s="62">
        <f t="shared" si="8"/>
        <v>2.0525142265600094E-2</v>
      </c>
      <c r="I27" s="54">
        <f>IF(AND(F27&gt;='Inputs &amp; Outputs'!B$13,F27&lt;'Inputs &amp; Outputs'!B$13+'Inputs &amp; Outputs'!B$19),1,0)</f>
        <v>1</v>
      </c>
      <c r="J27" s="55">
        <f>I27*'Inputs &amp; Outputs'!B$16*'Benefit Calculations'!G27*('Benefit Calculations'!C$4-'Benefit Calculations'!C$5)</f>
        <v>193.11834608951241</v>
      </c>
      <c r="K27" s="71">
        <f t="shared" si="3"/>
        <v>5.5347944830677384E-2</v>
      </c>
      <c r="L27" s="56">
        <f>K27*'Assumed Values'!$C$8</f>
        <v>415.5523697887258</v>
      </c>
      <c r="M27" s="57">
        <f t="shared" si="0"/>
        <v>87.65947727364879</v>
      </c>
      <c r="N27" s="55">
        <f>I27*'Inputs &amp; Outputs'!B$16*'Benefit Calculations'!G27*('Benefit Calculations'!D$4-'Benefit Calculations'!D$5)</f>
        <v>152.70111871617948</v>
      </c>
      <c r="O27" s="71">
        <f t="shared" si="4"/>
        <v>4.3764319990439275E-2</v>
      </c>
      <c r="P27" s="56">
        <f>ABS(O27*'Assumed Values'!$C$7)</f>
        <v>83.371029581786814</v>
      </c>
      <c r="Q27" s="57">
        <f t="shared" si="1"/>
        <v>17.586858851559413</v>
      </c>
      <c r="T27" s="68">
        <f t="shared" si="5"/>
        <v>5.0210769983273222E-2</v>
      </c>
      <c r="U27" s="69">
        <f>T27*'Assumed Values'!$D$8</f>
        <v>0</v>
      </c>
    </row>
    <row r="28" spans="3:21">
      <c r="F28" s="54">
        <f t="shared" si="2"/>
        <v>2042</v>
      </c>
      <c r="G28" s="63">
        <f t="shared" si="6"/>
        <v>35118.754928346076</v>
      </c>
      <c r="H28" s="62">
        <f t="shared" si="8"/>
        <v>2.0525142265600094E-2</v>
      </c>
      <c r="I28" s="54">
        <f>IF(AND(F28&gt;='Inputs &amp; Outputs'!B$13,F28&lt;'Inputs &amp; Outputs'!B$13+'Inputs &amp; Outputs'!B$19),1,0)</f>
        <v>1</v>
      </c>
      <c r="J28" s="55">
        <f>I28*'Inputs &amp; Outputs'!B$16*'Benefit Calculations'!G28*('Benefit Calculations'!C$4-'Benefit Calculations'!C$5)</f>
        <v>197.08212761709706</v>
      </c>
      <c r="K28" s="71">
        <f t="shared" si="3"/>
        <v>5.6483969272435618E-2</v>
      </c>
      <c r="L28" s="56">
        <f>K28*'Assumed Values'!$C$8</f>
        <v>424.08164129744659</v>
      </c>
      <c r="M28" s="57">
        <f t="shared" si="0"/>
        <v>83.60626216412949</v>
      </c>
      <c r="N28" s="55">
        <f>I28*'Inputs &amp; Outputs'!B$16*'Benefit Calculations'!G28*('Benefit Calculations'!D$4-'Benefit Calculations'!D$5)</f>
        <v>155.83533090194535</v>
      </c>
      <c r="O28" s="71">
        <f t="shared" si="4"/>
        <v>4.4662588884400285E-2</v>
      </c>
      <c r="P28" s="56">
        <f>ABS(O28*'Assumed Values'!$C$7)</f>
        <v>85.082231824782539</v>
      </c>
      <c r="Q28" s="57">
        <f t="shared" si="1"/>
        <v>16.773674421955789</v>
      </c>
      <c r="T28" s="68">
        <f t="shared" si="5"/>
        <v>5.1241353180445239E-2</v>
      </c>
      <c r="U28" s="69">
        <f>T28*'Assumed Values'!$D$8</f>
        <v>0</v>
      </c>
    </row>
    <row r="29" spans="3:21">
      <c r="F29" s="54">
        <f t="shared" si="2"/>
        <v>2043</v>
      </c>
      <c r="G29" s="63">
        <f t="shared" si="6"/>
        <v>35839.572369441121</v>
      </c>
      <c r="H29" s="62">
        <f t="shared" si="8"/>
        <v>2.0525142265600094E-2</v>
      </c>
      <c r="I29" s="54">
        <f>IF(AND(F29&gt;='Inputs &amp; Outputs'!B$13,F29&lt;'Inputs &amp; Outputs'!B$13+'Inputs &amp; Outputs'!B$19),1,0)</f>
        <v>1</v>
      </c>
      <c r="J29" s="55">
        <f>I29*'Inputs &amp; Outputs'!B$16*'Benefit Calculations'!G29*('Benefit Calculations'!C$4-'Benefit Calculations'!C$5)</f>
        <v>201.12726632444512</v>
      </c>
      <c r="K29" s="71">
        <f t="shared" si="3"/>
        <v>5.7643310777478141E-2</v>
      </c>
      <c r="L29" s="56">
        <f>K29*'Assumed Values'!$C$8</f>
        <v>432.78597731730588</v>
      </c>
      <c r="M29" s="57">
        <f t="shared" si="0"/>
        <v>79.740460363872245</v>
      </c>
      <c r="N29" s="55">
        <f>I29*'Inputs &amp; Outputs'!B$16*'Benefit Calculations'!G29*('Benefit Calculations'!D$4-'Benefit Calculations'!D$5)</f>
        <v>159.03387323871465</v>
      </c>
      <c r="O29" s="71">
        <f t="shared" si="4"/>
        <v>4.5579294875202618E-2</v>
      </c>
      <c r="P29" s="56">
        <f>ABS(O29*'Assumed Values'!$C$7)</f>
        <v>86.828556737260982</v>
      </c>
      <c r="Q29" s="57">
        <f t="shared" si="1"/>
        <v>15.99809016428345</v>
      </c>
      <c r="T29" s="68">
        <f t="shared" si="5"/>
        <v>5.2293089244355731E-2</v>
      </c>
      <c r="U29" s="69">
        <f>T29*'Assumed Values'!$D$8</f>
        <v>0</v>
      </c>
    </row>
    <row r="30" spans="3:21">
      <c r="F30" s="54">
        <f t="shared" si="2"/>
        <v>2044</v>
      </c>
      <c r="G30" s="63">
        <f t="shared" si="6"/>
        <v>36575.184691062168</v>
      </c>
      <c r="H30" s="62">
        <f t="shared" si="8"/>
        <v>2.0525142265600094E-2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41317</v>
      </c>
      <c r="H31" s="62">
        <f t="shared" si="8"/>
        <v>2.0525142265600094E-2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42165.037302987796</v>
      </c>
      <c r="H32" s="62">
        <f t="shared" si="8"/>
        <v>2.0525142265600094E-2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43030.480692265955</v>
      </c>
      <c r="H33" s="62">
        <f t="shared" si="8"/>
        <v>2.0525142265600094E-2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43913.687430231876</v>
      </c>
      <c r="H34" s="62">
        <f t="shared" si="8"/>
        <v>2.0525142265600094E-2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44815.022112144477</v>
      </c>
      <c r="H35" s="62">
        <f t="shared" si="8"/>
        <v>2.0525142265600094E-2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45734.856816632258</v>
      </c>
      <c r="H36" s="62">
        <f t="shared" si="8"/>
        <v>2.0525142265600094E-2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3339.6128108059233</v>
      </c>
      <c r="K37" s="55">
        <f t="shared" ref="K37:Q37" si="9">SUM(K4:K36)</f>
        <v>0.95713695436597224</v>
      </c>
      <c r="L37" s="58">
        <f t="shared" si="9"/>
        <v>7186.1842533797208</v>
      </c>
      <c r="M37" s="59">
        <f t="shared" si="9"/>
        <v>2595.212948014067</v>
      </c>
      <c r="N37" s="55">
        <f t="shared" si="9"/>
        <v>2640.6740872385894</v>
      </c>
      <c r="O37" s="55">
        <f t="shared" si="9"/>
        <v>0.75682029520145133</v>
      </c>
      <c r="P37" s="55">
        <f t="shared" si="9"/>
        <v>1441.7426623587646</v>
      </c>
      <c r="Q37" s="59">
        <f t="shared" si="9"/>
        <v>520.66981490184025</v>
      </c>
      <c r="T37" s="68">
        <f>SUM(T4:T36)</f>
        <v>0.86829933080954025</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100" t="s">
        <v>111</v>
      </c>
      <c r="B1" s="100"/>
      <c r="C1" s="100"/>
      <c r="D1" s="100"/>
      <c r="E1" s="100"/>
      <c r="F1" s="100"/>
      <c r="G1" s="100"/>
      <c r="H1" s="100"/>
      <c r="I1" s="100"/>
      <c r="J1" s="100"/>
    </row>
    <row r="2" spans="1:14">
      <c r="A2" s="72" t="s">
        <v>112</v>
      </c>
      <c r="B2" s="72" t="s">
        <v>113</v>
      </c>
      <c r="C2" s="92" t="s">
        <v>114</v>
      </c>
      <c r="D2" s="92" t="s">
        <v>115</v>
      </c>
      <c r="E2" s="92" t="s">
        <v>116</v>
      </c>
      <c r="F2" s="92" t="s">
        <v>117</v>
      </c>
      <c r="G2" s="92" t="s">
        <v>118</v>
      </c>
      <c r="H2" s="92" t="s">
        <v>55</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100" t="s">
        <v>111</v>
      </c>
      <c r="B20" s="100"/>
      <c r="C20" s="100"/>
      <c r="D20" s="100"/>
      <c r="E20" s="100"/>
      <c r="F20" s="100"/>
      <c r="G20" s="100"/>
      <c r="H20" s="100"/>
      <c r="I20" s="100"/>
      <c r="J20" s="100"/>
    </row>
    <row r="21" spans="1:10">
      <c r="A21" s="72" t="s">
        <v>112</v>
      </c>
      <c r="B21" s="72" t="s">
        <v>113</v>
      </c>
      <c r="C21" s="92" t="s">
        <v>114</v>
      </c>
      <c r="D21" s="92" t="s">
        <v>115</v>
      </c>
      <c r="E21" s="92" t="s">
        <v>116</v>
      </c>
      <c r="F21" s="92" t="s">
        <v>117</v>
      </c>
      <c r="G21" s="92" t="s">
        <v>118</v>
      </c>
      <c r="H21" s="92" t="s">
        <v>55</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100" t="s">
        <v>111</v>
      </c>
      <c r="B1" s="100"/>
      <c r="C1" s="100"/>
      <c r="D1" s="100"/>
      <c r="E1" s="100"/>
      <c r="F1" s="100"/>
      <c r="G1" s="100"/>
      <c r="H1" s="100"/>
      <c r="I1" s="100"/>
      <c r="J1" s="100"/>
    </row>
    <row r="2" spans="1:14" s="2" customFormat="1">
      <c r="A2" s="72" t="s">
        <v>112</v>
      </c>
      <c r="B2" s="72" t="s">
        <v>113</v>
      </c>
      <c r="C2" s="92" t="s">
        <v>114</v>
      </c>
      <c r="D2" s="92" t="s">
        <v>115</v>
      </c>
      <c r="E2" s="92" t="s">
        <v>116</v>
      </c>
      <c r="F2" s="92" t="s">
        <v>117</v>
      </c>
      <c r="G2" s="92" t="s">
        <v>118</v>
      </c>
      <c r="H2" s="92" t="s">
        <v>55</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100" t="s">
        <v>111</v>
      </c>
      <c r="B20" s="100"/>
      <c r="C20" s="100"/>
      <c r="D20" s="100"/>
      <c r="E20" s="100"/>
      <c r="F20" s="100"/>
      <c r="G20" s="100"/>
      <c r="H20" s="100"/>
      <c r="I20" s="100"/>
      <c r="J20" s="100"/>
    </row>
    <row r="21" spans="1:10" s="2" customFormat="1">
      <c r="A21" s="72" t="s">
        <v>112</v>
      </c>
      <c r="B21" s="72" t="s">
        <v>113</v>
      </c>
      <c r="C21" s="92" t="s">
        <v>114</v>
      </c>
      <c r="D21" s="92" t="s">
        <v>115</v>
      </c>
      <c r="E21" s="92" t="s">
        <v>116</v>
      </c>
      <c r="F21" s="92" t="s">
        <v>117</v>
      </c>
      <c r="G21" s="92" t="s">
        <v>118</v>
      </c>
      <c r="H21" s="92" t="s">
        <v>55</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41CD05-5FD5-40B9-88A7-D07DF145E104}"/>
</file>

<file path=customXml/itemProps2.xml><?xml version="1.0" encoding="utf-8"?>
<ds:datastoreItem xmlns:ds="http://schemas.openxmlformats.org/officeDocument/2006/customXml" ds:itemID="{B81C3A83-297E-45F6-B9A7-772C8B6BE5F0}"/>
</file>

<file path=customXml/itemProps3.xml><?xml version="1.0" encoding="utf-8"?>
<ds:datastoreItem xmlns:ds="http://schemas.openxmlformats.org/officeDocument/2006/customXml" ds:itemID="{0E21CF77-3D87-4726-B1A0-1A65F347B1A0}"/>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2018-10-31T03:38:18Z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