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5_US90/"/>
    </mc:Choice>
  </mc:AlternateContent>
  <xr:revisionPtr revIDLastSave="13" documentId="102_{4B83E0C1-B99E-4292-9031-7401E13CD550}" xr6:coauthVersionLast="40" xr6:coauthVersionMax="40" xr10:uidLastSave="{11BC8C1B-296C-401C-8BB2-4ACFBC70BECA}"/>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<sst xmlns="http://schemas.openxmlformats.org/spreadsheetml/2006/main" count="292" uniqueCount="238">
  <si>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</si>
  <si>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</si>
  <si>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</si>
  <si>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</si>
  <si>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</si>
  <si>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</si>
  <si>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</si>
  <si>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</si>
  <si>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</si>
  <si>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</si>
  <si>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</si>
  <si>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</si>
  <si>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</si>
  <si>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</si>
  <si>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</si>
  <si>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</si>
  <si>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</si>
  <si>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</si>
  <si>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</si>
  <si>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</si>
  <si>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</si>
  <si>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</si>
  <si>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</si>
  <si>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</si>
  <si>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</si>
  <si>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</si>
  <si>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</si>
  <si>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</si>
  <si>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</si>
  <si>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</si>
  <si>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</si>
  <si>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</si>
  <si>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</si>
  <si>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</si>
  <si>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</si>
  <si>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</si>
  <si>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</si>
  <si>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</si>
  <si>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</si>
  <si>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</si>
  <si>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</si>
  <si>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</si>
  <si>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</si>
  <si>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</si>
  <si>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</si>
  <si>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</si>
  <si>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</si>
  <si>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</si>
  <si>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</si>
  <si>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US 90 UPRR Overpass and Rail Relocation</t>
  </si>
  <si>
    <t>Data entered by the sponsors</t>
  </si>
  <si>
    <t>County</t>
  </si>
  <si>
    <t>Liberty</t>
  </si>
  <si>
    <t>HGAC regional travel demand model data provided by HGAC</t>
  </si>
  <si>
    <t>Facility Type</t>
  </si>
  <si>
    <t>Non Freeway</t>
  </si>
  <si>
    <t>Data populated/calculated based on inputs</t>
  </si>
  <si>
    <t>Street Name:</t>
  </si>
  <si>
    <t>US 90</t>
  </si>
  <si>
    <t>Benefits calculated by the template</t>
  </si>
  <si>
    <t>Limits (From)</t>
  </si>
  <si>
    <t>At UP Railroad</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</si>
  <si>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</si>
  <si>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</si>
  <si>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</si>
  <si>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</si>
  <si>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</si>
  <si>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</si>
  <si>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</si>
  <si>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</si>
  <si>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</si>
  <si>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</si>
  <si>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</si>
  <si>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</si>
  <si>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</si>
  <si>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</si>
  <si>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</si>
  <si>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</si>
  <si>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</si>
  <si>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</si>
  <si>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</si>
  <si>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</si>
  <si>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</si>
  <si>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</si>
  <si>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</si>
  <si>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</si>
  <si>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</si>
  <si>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</si>
  <si>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</si>
  <si>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</si>
  <si>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</si>
  <si>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</si>
  <si>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</si>
  <si>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</si>
  <si>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</si>
  <si>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</si>
  <si>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</si>
  <si>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</si>
  <si>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</si>
  <si>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</si>
  <si>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</si>
  <si>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</si>
  <si>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</si>
  <si>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</si>
  <si>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</si>
  <si>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</si>
  <si>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</si>
  <si>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</si>
  <si>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</si>
  <si>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</si>
  <si>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</si>
  <si>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</si>
  <si>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</si>
  <si>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</si>
  <si>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</si>
  <si>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</si>
  <si>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</si>
  <si>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</si>
  <si>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</si>
  <si>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</si>
  <si>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</si>
  <si>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</si>
  <si>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</si>
  <si>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</si>
  <si>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</si>
  <si>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</si>
  <si>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</si>
  <si>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</si>
  <si>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</si>
  <si>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</si>
  <si>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</si>
  <si>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</si>
  <si>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</si>
  <si>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</si>
  <si>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</si>
  <si>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</si>
  <si>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</si>
  <si>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</si>
  <si>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</si>
  <si>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</si>
  <si>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</si>
  <si>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</si>
  <si>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</si>
  <si>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</si>
  <si>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</si>
  <si>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</si>
  <si>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</si>
  <si>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</si>
  <si>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</si>
  <si>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</si>
  <si>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</si>
  <si>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</si>
  <si>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</si>
  <si>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</si>
  <si>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</si>
  <si>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</si>
  <si>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</si>
  <si>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</si>
  <si>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</si>
  <si>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</si>
  <si>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</si>
  <si>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</si>
  <si>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</si>
  <si>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</si>
  <si>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Harris</t>
  </si>
  <si>
    <t xml:space="preserve">Managed HOT/HOV Lanes </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</si>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</sst>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1.22</v>
      </c>
    </row>
    <row r="13" spans="1:7">
      <c r="A13" s="7" t="s">
        <v>65</v>
      </c>
      <c r="B13" s="116">
        <v>253</v>
      </c>
      <c r="F13" s="99"/>
    </row>
    <row r="14" spans="1:7">
      <c r="A14" s="7" t="s">
        <v>66</v>
      </c>
      <c r="B14" s="116" t="s">
        <v>67</v>
      </c>
    </row>
    <row r="17" spans="1:7">
      <c r="A17" s="98" t="s">
        <v>68</v>
      </c>
      <c r="E17" s="130" t="s">
        <v>69</v>
      </c>
      <c r="F17" s="131"/>
    </row>
    <row r="18" spans="1:7">
      <c r="A18" s="7" t="s">
        <v>70</v>
      </c>
      <c r="B18" s="117">
        <v>2024</v>
      </c>
      <c r="E18" s="87" t="s">
        <v>71</v>
      </c>
      <c r="F18" s="123">
        <f>$B$12/$B$32</f>
        <v>2.0677966101694915E-2</v>
      </c>
    </row>
    <row r="19" spans="1:7" ht="30">
      <c r="A19" s="7" t="s">
        <v>72</v>
      </c>
      <c r="B19" s="118" t="s">
        <v>73</v>
      </c>
      <c r="E19" s="89" t="s">
        <v>74</v>
      </c>
      <c r="F19" s="124">
        <f>$B$12/$B$33</f>
        <v>2.6521739130434784E-2</v>
      </c>
    </row>
    <row r="20" spans="1:7" ht="30">
      <c r="A20" s="113" t="s">
        <v>75</v>
      </c>
      <c r="B20" s="114">
        <f>VLOOKUP(B19,'Delay Reduction Factors'!B4:C80,2, FALSE)</f>
        <v>0.2</v>
      </c>
      <c r="E20" s="89" t="s">
        <v>76</v>
      </c>
      <c r="F20" s="123">
        <f>$F$19-$F$18</f>
        <v>5.8437730287398681E-3</v>
      </c>
    </row>
    <row r="21" spans="1:7">
      <c r="A21" s="7" t="s">
        <v>77</v>
      </c>
      <c r="B21" s="63">
        <v>30</v>
      </c>
      <c r="D21" s="100"/>
      <c r="E21" s="87" t="s">
        <v>78</v>
      </c>
      <c r="F21" s="123">
        <f>$F$20*$B$20</f>
        <v>1.1687546057479736E-3</v>
      </c>
      <c r="G21" s="101"/>
    </row>
    <row r="22" spans="1:7">
      <c r="D22" s="100"/>
      <c r="E22" s="87" t="s">
        <v>79</v>
      </c>
      <c r="F22" s="123">
        <f>$F$20-$F$21</f>
        <v>4.6750184229918945E-3</v>
      </c>
      <c r="G22" s="101"/>
    </row>
    <row r="23" spans="1:7">
      <c r="E23" s="87" t="s">
        <v>80</v>
      </c>
      <c r="F23" s="123">
        <f>$F$18+$F$22</f>
        <v>2.535298452468681E-2</v>
      </c>
    </row>
    <row r="24" spans="1:7">
      <c r="A24" s="98" t="s">
        <v>81</v>
      </c>
      <c r="B24" s="102"/>
      <c r="D24" s="100"/>
    </row>
    <row r="25" spans="1:7">
      <c r="A25" s="7" t="s">
        <v>82</v>
      </c>
      <c r="B25" s="119">
        <v>21943</v>
      </c>
      <c r="D25" s="100"/>
    </row>
    <row r="28" spans="1:7">
      <c r="A28" s="87" t="s">
        <v>83</v>
      </c>
      <c r="B28" s="112">
        <f>IF(FacilityType='Delay Reduction Factors'!N5,'Inputs &amp; Outputs'!B25*45%, B25*43%)</f>
        <v>9435.49</v>
      </c>
      <c r="D28" s="100"/>
      <c r="E28" s="103" t="s">
        <v>84</v>
      </c>
      <c r="F28" s="104" t="s">
        <v>2</v>
      </c>
      <c r="G28" s="105" t="s">
        <v>85</v>
      </c>
    </row>
    <row r="29" spans="1:7">
      <c r="A29" s="87" t="s">
        <v>86</v>
      </c>
      <c r="B29" s="95">
        <f>VLOOKUP(Year_Open_to_Traffic?,Calculations!H4:I36,2)</f>
        <v>12057.93176142065</v>
      </c>
      <c r="D29" s="100"/>
      <c r="E29" s="89" t="s">
        <v>87</v>
      </c>
      <c r="F29" s="83">
        <f>$B$29*$F$23</f>
        <v>305.70455734702733</v>
      </c>
      <c r="G29" s="84">
        <f>$B$29*$F$19</f>
        <v>319.79732062898245</v>
      </c>
    </row>
    <row r="30" spans="1:7">
      <c r="B30" s="82"/>
      <c r="D30" s="100"/>
    </row>
    <row r="32" spans="1:7">
      <c r="A32" s="106" t="s">
        <v>88</v>
      </c>
      <c r="B32" s="120">
        <v>59</v>
      </c>
      <c r="D32" s="100"/>
    </row>
    <row r="33" spans="1:7" ht="30">
      <c r="A33" s="107" t="s">
        <v>89</v>
      </c>
      <c r="B33" s="121">
        <v>46</v>
      </c>
      <c r="D33" s="100"/>
      <c r="E33" s="100"/>
      <c r="F33" s="108"/>
    </row>
    <row r="34" spans="1:7">
      <c r="A34" s="109"/>
      <c r="B34" s="122"/>
      <c r="F34" s="108"/>
      <c r="G34" s="108"/>
    </row>
    <row r="35" spans="1:7">
      <c r="A35" s="87" t="s">
        <v>90</v>
      </c>
      <c r="B35" s="126">
        <f>$B$28</f>
        <v>9435.49</v>
      </c>
    </row>
    <row r="36" spans="1:7">
      <c r="A36" s="106" t="s">
        <v>91</v>
      </c>
      <c r="B36" s="120">
        <v>22190</v>
      </c>
    </row>
    <row r="37" spans="1:7">
      <c r="A37" s="106" t="s">
        <v>92</v>
      </c>
      <c r="B37" s="120">
        <v>12561</v>
      </c>
    </row>
    <row r="38" spans="1:7">
      <c r="A38" s="106" t="s">
        <v>93</v>
      </c>
      <c r="B38" s="120">
        <v>22190</v>
      </c>
    </row>
    <row r="39" spans="1:7">
      <c r="A39" s="106" t="s">
        <v>94</v>
      </c>
      <c r="B39" s="120">
        <v>18693</v>
      </c>
    </row>
    <row r="40" spans="1:7">
      <c r="A40" s="106" t="s">
        <v>95</v>
      </c>
      <c r="B40" s="120">
        <v>22190</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1397.9352165418027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79483.184910227108</v>
      </c>
      <c r="F4" s="21">
        <f>'Inputs &amp; Outputs'!G29*Annual_Days_of_Travel</f>
        <v>83147.303363535437</v>
      </c>
      <c r="H4" s="49">
        <v>2018</v>
      </c>
      <c r="I4" s="50">
        <f>'Inputs &amp; Outputs'!B28</f>
        <v>9435.49</v>
      </c>
      <c r="J4" s="50">
        <f>IF(H4=Year_Open_to_Traffic?,$F$4,0)</f>
        <v>0</v>
      </c>
      <c r="K4" s="50">
        <f>IF(H4=Year_Open_to_Traffic?,Calculations!$E$4,0)</f>
        <v>0</v>
      </c>
      <c r="L4" s="50">
        <f>IF(AND(H4&gt;=Year_Open_to_Traffic?, Calculations!H4&lt;Year_Open_to_Traffic?+'Inputs &amp; Outputs'!B$21), 1, 0)</f>
        <v>0</v>
      </c>
      <c r="M4" s="65" t="s">
        <v>111</v>
      </c>
      <c r="N4" s="66">
        <f>MIN(E8,1)</f>
        <v>0.42521360973411448</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4.1720939256673528E-2</v>
      </c>
      <c r="F5" s="26"/>
      <c r="H5" s="14">
        <f t="shared" ref="H5:H36" si="3">H4+1</f>
        <v>2019</v>
      </c>
      <c r="I5" s="79">
        <f>(I4*M5)+I4</f>
        <v>9829.1475051469497</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4.1720939256673528E-2</v>
      </c>
      <c r="N5" s="71">
        <f t="shared" ref="N5:N11" si="6">N4*(1+IFERROR(_2018_2025_V_C_Growth,_2018_2045_V_C_Growth))</f>
        <v>0.44295392091694236</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2.0076492698734683E-2</v>
      </c>
      <c r="F6" s="26"/>
      <c r="H6" s="49">
        <f t="shared" si="3"/>
        <v>2020</v>
      </c>
      <c r="I6" s="79">
        <f t="shared" ref="I6:I36" si="10">(I5*M6)+I5</f>
        <v>10239.22877115407</v>
      </c>
      <c r="J6" s="50">
        <f t="shared" si="4"/>
        <v>0</v>
      </c>
      <c r="K6" s="50">
        <f>IF(H6=Year_Open_to_Traffic?,Calculations!$E$4,K5+(K5*M6))</f>
        <v>0</v>
      </c>
      <c r="L6" s="50">
        <f>IF(AND(H6&gt;=Year_Open_to_Traffic?, Calculations!H6&lt;Year_Open_to_Traffic?+'Inputs &amp; Outputs'!B$21), 1, 0)</f>
        <v>0</v>
      </c>
      <c r="M6" s="65">
        <f t="shared" si="5"/>
        <v>4.1720939256673528E-2</v>
      </c>
      <c r="N6" s="71">
        <f t="shared" si="6"/>
        <v>0.46143437454502345</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2.564445185359232E-2</v>
      </c>
      <c r="F7" s="26"/>
      <c r="H7" s="14">
        <f t="shared" si="3"/>
        <v>2021</v>
      </c>
      <c r="I7" s="79">
        <f t="shared" si="10"/>
        <v>10666.419012750574</v>
      </c>
      <c r="J7" s="50">
        <f t="shared" si="4"/>
        <v>0</v>
      </c>
      <c r="K7" s="50">
        <f>IF(H7=Year_Open_to_Traffic?,Calculations!$E$4,K6+(K6*M7))</f>
        <v>0</v>
      </c>
      <c r="L7" s="50">
        <f>IF(AND(H7&gt;=Year_Open_to_Traffic?, Calculations!H7&lt;Year_Open_to_Traffic?+'Inputs &amp; Outputs'!B$21), 1, 0)</f>
        <v>0</v>
      </c>
      <c r="M7" s="65">
        <f t="shared" si="5"/>
        <v>4.1720939256673528E-2</v>
      </c>
      <c r="N7" s="71">
        <f t="shared" si="6"/>
        <v>0.4806858500563575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0.42521360973411448</v>
      </c>
      <c r="F8" s="26"/>
      <c r="H8" s="49">
        <f t="shared" si="3"/>
        <v>2022</v>
      </c>
      <c r="I8" s="79">
        <f t="shared" si="10"/>
        <v>11111.432032467768</v>
      </c>
      <c r="J8" s="50">
        <f t="shared" si="4"/>
        <v>0</v>
      </c>
      <c r="K8" s="50">
        <f>IF(H8=Year_Open_to_Traffic?,Calculations!$E$4,K7+(K7*M8))</f>
        <v>0</v>
      </c>
      <c r="L8" s="50">
        <f>IF(AND(H8&gt;=Year_Open_to_Traffic?, Calculations!H8&lt;Year_Open_to_Traffic?+'Inputs &amp; Outputs'!B$21), 1, 0)</f>
        <v>0</v>
      </c>
      <c r="M8" s="65">
        <f t="shared" si="5"/>
        <v>4.1720939256673528E-2</v>
      </c>
      <c r="N8" s="71">
        <f t="shared" si="6"/>
        <v>0.50074051520810126</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f>_2025_PeakVolume/_2025_Capacity</f>
        <v>0.56606579540333479</v>
      </c>
      <c r="F9" s="26"/>
      <c r="H9" s="14">
        <f t="shared" si="3"/>
        <v>2023</v>
      </c>
      <c r="I9" s="79">
        <f t="shared" si="10"/>
        <v>11575.011413349013</v>
      </c>
      <c r="J9" s="50">
        <f t="shared" si="4"/>
        <v>0</v>
      </c>
      <c r="K9" s="50">
        <f>IF(H9=Year_Open_to_Traffic?,Calculations!$E$4,K8+(K8*M9))</f>
        <v>0</v>
      </c>
      <c r="L9" s="50">
        <f>IF(AND(H9&gt;=Year_Open_to_Traffic?, Calculations!H9&lt;Year_Open_to_Traffic?+'Inputs &amp; Outputs'!B$21), 1, 0)</f>
        <v>0</v>
      </c>
      <c r="M9" s="65">
        <f t="shared" si="5"/>
        <v>4.1720939256673528E-2</v>
      </c>
      <c r="N9" s="71">
        <f t="shared" si="6"/>
        <v>0.52163187982645387</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0.84240648940964402</v>
      </c>
      <c r="F10" s="26"/>
      <c r="H10" s="49">
        <f t="shared" si="3"/>
        <v>2024</v>
      </c>
      <c r="I10" s="79">
        <f t="shared" si="10"/>
        <v>12057.93176142065</v>
      </c>
      <c r="J10" s="50">
        <f t="shared" si="4"/>
        <v>83147.303363535437</v>
      </c>
      <c r="K10" s="50">
        <f>IF(H10=Year_Open_to_Traffic?,Calculations!$E$4,K9+(K9*M10))</f>
        <v>79483.184910227108</v>
      </c>
      <c r="L10" s="50">
        <f>IF(AND(H10&gt;=Year_Open_to_Traffic?, Calculations!H10&lt;Year_Open_to_Traffic?+'Inputs &amp; Outputs'!B$21), 1, 0)</f>
        <v>1</v>
      </c>
      <c r="M10" s="65">
        <f t="shared" si="5"/>
        <v>4.1720939256673528E-2</v>
      </c>
      <c r="N10" s="71">
        <f t="shared" si="6"/>
        <v>0.54339485179903779</v>
      </c>
      <c r="O10" s="72">
        <f t="shared" si="7"/>
        <v>1</v>
      </c>
      <c r="P10" s="68">
        <f>(J10-K10)*L10</f>
        <v>3664.1184533083288</v>
      </c>
      <c r="Q10" s="69">
        <f t="shared" si="0"/>
        <v>1</v>
      </c>
      <c r="R10" s="70">
        <f t="shared" si="1"/>
        <v>20.320200961804083</v>
      </c>
      <c r="S10" s="77">
        <f t="shared" si="2"/>
        <v>103.49331641352119</v>
      </c>
      <c r="T10" s="64">
        <f t="shared" si="9"/>
        <v>68.961966609131679</v>
      </c>
      <c r="W10" s="58"/>
    </row>
    <row r="11" spans="1:24" ht="30" customHeight="1">
      <c r="A11" s="132" t="s">
        <v>121</v>
      </c>
      <c r="B11" s="133"/>
      <c r="D11" s="17" t="s">
        <v>122</v>
      </c>
      <c r="E11" s="39">
        <f>(E9/E8)^(1/(2025-2018))-1</f>
        <v>4.1720939256673528E-2</v>
      </c>
      <c r="F11" s="26"/>
      <c r="H11" s="14">
        <f t="shared" si="3"/>
        <v>2025</v>
      </c>
      <c r="I11" s="79">
        <f t="shared" si="10"/>
        <v>12560.999999999996</v>
      </c>
      <c r="J11" s="50">
        <f t="shared" si="4"/>
        <v>86616.286956521712</v>
      </c>
      <c r="K11" s="50">
        <f>IF(H11=Year_Open_to_Traffic?,Calculations!$E$4,K10+(K10*M11))</f>
        <v>82799.298039793648</v>
      </c>
      <c r="L11" s="50">
        <f>IF(AND(H11&gt;=Year_Open_to_Traffic?, Calculations!H11&lt;Year_Open_to_Traffic?+'Inputs &amp; Outputs'!B$21), 1, 0)</f>
        <v>1</v>
      </c>
      <c r="M11" s="65">
        <f t="shared" si="5"/>
        <v>4.1720939256673528E-2</v>
      </c>
      <c r="N11" s="71">
        <f t="shared" si="6"/>
        <v>0.56606579540333457</v>
      </c>
      <c r="O11" s="72">
        <f t="shared" si="7"/>
        <v>1</v>
      </c>
      <c r="P11" s="68">
        <f t="shared" si="8"/>
        <v>3816.9889167280635</v>
      </c>
      <c r="Q11" s="69">
        <f t="shared" si="0"/>
        <v>1</v>
      </c>
      <c r="R11" s="70">
        <f t="shared" si="1"/>
        <v>20.787565583925574</v>
      </c>
      <c r="S11" s="77">
        <f t="shared" si="2"/>
        <v>110.29081134104629</v>
      </c>
      <c r="T11" s="64">
        <f t="shared" si="9"/>
        <v>68.68357429487871</v>
      </c>
      <c r="W11" s="58"/>
    </row>
    <row r="12" spans="1:24">
      <c r="A12" s="17" t="s">
        <v>123</v>
      </c>
      <c r="B12" s="18">
        <v>0.45</v>
      </c>
      <c r="D12" s="17" t="s">
        <v>124</v>
      </c>
      <c r="E12" s="39">
        <f>(E10/E9)^(1/(2045-2025))-1</f>
        <v>2.0076492698734683E-2</v>
      </c>
      <c r="F12" s="26"/>
      <c r="H12" s="49">
        <v>2026</v>
      </c>
      <c r="I12" s="79">
        <f t="shared" si="10"/>
        <v>12813.180824788802</v>
      </c>
      <c r="J12" s="50">
        <f t="shared" si="4"/>
        <v>88355.238209195828</v>
      </c>
      <c r="K12" s="50">
        <f>IF(H12=Year_Open_to_Traffic?,Calculations!$E$4,K11+(K11*M12))</f>
        <v>84461.617542349923</v>
      </c>
      <c r="L12" s="50">
        <f>IF(AND(H12&gt;=Year_Open_to_Traffic?, Calculations!H12&lt;Year_Open_to_Traffic?+'Inputs &amp; Outputs'!B$21), 1, 0)</f>
        <v>1</v>
      </c>
      <c r="M12" s="65">
        <f t="shared" ref="M12:M36" si="11">IFERROR(_2025_2045_Demand_Growth,_2018_2045_Demand_Growth)</f>
        <v>2.0076492698734683E-2</v>
      </c>
      <c r="N12" s="71">
        <f t="shared" ref="N12:N36" si="12">N11*(1+IFERROR(_2025_2045_V_C_Growth,_2018_2045_V_C_Growth))</f>
        <v>0.57743041121175309</v>
      </c>
      <c r="O12" s="72">
        <f t="shared" si="7"/>
        <v>1</v>
      </c>
      <c r="P12" s="68">
        <f t="shared" si="8"/>
        <v>3893.6206668459054</v>
      </c>
      <c r="Q12" s="69">
        <f t="shared" si="0"/>
        <v>1</v>
      </c>
      <c r="R12" s="70">
        <f t="shared" si="1"/>
        <v>21.265679592355859</v>
      </c>
      <c r="S12" s="77">
        <f t="shared" si="2"/>
        <v>115.09268048189476</v>
      </c>
      <c r="T12" s="64">
        <f t="shared" si="9"/>
        <v>66.98498790925764</v>
      </c>
      <c r="W12" s="58"/>
    </row>
    <row r="13" spans="1:24">
      <c r="A13" s="17" t="s">
        <v>55</v>
      </c>
      <c r="B13" s="18">
        <v>0.43</v>
      </c>
      <c r="D13" s="17" t="s">
        <v>125</v>
      </c>
      <c r="E13" s="39">
        <f>(E10/E8)^(1/(2045-2018))-1</f>
        <v>2.564445185359232E-2</v>
      </c>
      <c r="F13" s="26"/>
      <c r="H13" s="14">
        <f t="shared" si="3"/>
        <v>2027</v>
      </c>
      <c r="I13" s="79">
        <f t="shared" si="10"/>
        <v>13070.424556065242</v>
      </c>
      <c r="J13" s="50">
        <f t="shared" si="4"/>
        <v>90129.101503997706</v>
      </c>
      <c r="K13" s="50">
        <f>IF(H13=Year_Open_to_Traffic?,Calculations!$E$4,K12+(K12*M13))</f>
        <v>86157.310590262234</v>
      </c>
      <c r="L13" s="50">
        <f>IF(AND(H13&gt;=Year_Open_to_Traffic?, Calculations!H13&lt;Year_Open_to_Traffic?+'Inputs &amp; Outputs'!B$21), 1, 0)</f>
        <v>1</v>
      </c>
      <c r="M13" s="65">
        <f t="shared" si="11"/>
        <v>2.0076492698734683E-2</v>
      </c>
      <c r="N13" s="71">
        <f t="shared" si="12"/>
        <v>0.58902318864647318</v>
      </c>
      <c r="O13" s="72">
        <f t="shared" si="7"/>
        <v>1</v>
      </c>
      <c r="P13" s="68">
        <f t="shared" si="8"/>
        <v>3971.7909137354727</v>
      </c>
      <c r="Q13" s="69">
        <f t="shared" si="0"/>
        <v>1</v>
      </c>
      <c r="R13" s="70">
        <f t="shared" si="1"/>
        <v>21.754790222980041</v>
      </c>
      <c r="S13" s="77">
        <f t="shared" si="2"/>
        <v>120.10361461161625</v>
      </c>
      <c r="T13" s="64">
        <f t="shared" si="9"/>
        <v>65.32840859358059</v>
      </c>
      <c r="W13" s="58"/>
    </row>
    <row r="14" spans="1:24">
      <c r="H14" s="49">
        <f>H13+1</f>
        <v>2028</v>
      </c>
      <c r="I14" s="79">
        <f t="shared" si="10"/>
        <v>13332.832839234448</v>
      </c>
      <c r="J14" s="50">
        <f t="shared" si="4"/>
        <v>91938.577752286234</v>
      </c>
      <c r="K14" s="50">
        <f>IF(H14=Year_Open_to_Traffic?,Calculations!$E$4,K13+(K13*M14))</f>
        <v>87887.047207270254</v>
      </c>
      <c r="L14" s="50">
        <f>IF(AND(H14&gt;=Year_Open_to_Traffic?, Calculations!H14&lt;Year_Open_to_Traffic?+'Inputs &amp; Outputs'!B$21), 1, 0)</f>
        <v>1</v>
      </c>
      <c r="M14" s="65">
        <f t="shared" si="11"/>
        <v>2.0076492698734683E-2</v>
      </c>
      <c r="N14" s="71">
        <f t="shared" si="12"/>
        <v>0.60084870839271953</v>
      </c>
      <c r="O14" s="72">
        <f t="shared" si="7"/>
        <v>1</v>
      </c>
      <c r="P14" s="68">
        <f t="shared" si="8"/>
        <v>4051.5305450159794</v>
      </c>
      <c r="Q14" s="69">
        <f t="shared" si="0"/>
        <v>1</v>
      </c>
      <c r="R14" s="70">
        <f t="shared" si="1"/>
        <v>22.255150398108579</v>
      </c>
      <c r="S14" s="77">
        <f t="shared" si="2"/>
        <v>125.33271605438739</v>
      </c>
      <c r="T14" s="64">
        <f t="shared" si="9"/>
        <v>63.712797487569411</v>
      </c>
      <c r="W14" s="58"/>
    </row>
    <row r="15" spans="1:24">
      <c r="H15" s="14">
        <f t="shared" si="3"/>
        <v>2029</v>
      </c>
      <c r="I15" s="79">
        <f t="shared" si="10"/>
        <v>13600.509360384789</v>
      </c>
      <c r="J15" s="50">
        <f t="shared" si="4"/>
        <v>93784.381937262064</v>
      </c>
      <c r="K15" s="50">
        <f>IF(H15=Year_Open_to_Traffic?,Calculations!$E$4,K14+(K14*M15))</f>
        <v>89651.510868840371</v>
      </c>
      <c r="L15" s="50">
        <f>IF(AND(H15&gt;=Year_Open_to_Traffic?, Calculations!H15&lt;Year_Open_to_Traffic?+'Inputs &amp; Outputs'!B$21), 1, 0)</f>
        <v>1</v>
      </c>
      <c r="M15" s="65">
        <f t="shared" si="11"/>
        <v>2.0076492698734683E-2</v>
      </c>
      <c r="N15" s="71">
        <f t="shared" si="12"/>
        <v>0.61291164309981017</v>
      </c>
      <c r="O15" s="72">
        <f t="shared" si="7"/>
        <v>1</v>
      </c>
      <c r="P15" s="68">
        <f t="shared" si="8"/>
        <v>4132.8710684216931</v>
      </c>
      <c r="Q15" s="69">
        <f t="shared" si="0"/>
        <v>1</v>
      </c>
      <c r="R15" s="70">
        <f t="shared" si="1"/>
        <v>22.767018857265079</v>
      </c>
      <c r="S15" s="77">
        <f t="shared" si="2"/>
        <v>130.78948343366869</v>
      </c>
      <c r="T15" s="64">
        <f t="shared" si="9"/>
        <v>62.1371414225896</v>
      </c>
      <c r="W15" s="58"/>
    </row>
    <row r="16" spans="1:24">
      <c r="H16" s="49">
        <f t="shared" si="3"/>
        <v>2030</v>
      </c>
      <c r="I16" s="79">
        <f t="shared" si="10"/>
        <v>13873.559887257627</v>
      </c>
      <c r="J16" s="50">
        <f t="shared" si="4"/>
        <v>95667.243396480844</v>
      </c>
      <c r="K16" s="50">
        <f>IF(H16=Year_Open_to_Traffic?,Calculations!$E$4,K15+(K15*M16))</f>
        <v>91451.398772229179</v>
      </c>
      <c r="L16" s="50">
        <f>IF(AND(H16&gt;=Year_Open_to_Traffic?, Calculations!H16&lt;Year_Open_to_Traffic?+'Inputs &amp; Outputs'!B$21), 1, 0)</f>
        <v>1</v>
      </c>
      <c r="M16" s="65">
        <f t="shared" si="11"/>
        <v>2.0076492698734683E-2</v>
      </c>
      <c r="N16" s="71">
        <f t="shared" si="12"/>
        <v>0.625216759227473</v>
      </c>
      <c r="O16" s="72">
        <f t="shared" si="7"/>
        <v>1</v>
      </c>
      <c r="P16" s="68">
        <f t="shared" si="8"/>
        <v>4215.8446242516657</v>
      </c>
      <c r="Q16" s="69">
        <f t="shared" si="0"/>
        <v>1</v>
      </c>
      <c r="R16" s="70">
        <f t="shared" si="1"/>
        <v>23.290660290982171</v>
      </c>
      <c r="S16" s="77">
        <f t="shared" si="2"/>
        <v>136.48382892638242</v>
      </c>
      <c r="T16" s="64">
        <f t="shared" si="9"/>
        <v>60.600452286280394</v>
      </c>
      <c r="W16" s="58"/>
    </row>
    <row r="17" spans="1:23">
      <c r="A17" s="27"/>
      <c r="H17" s="14">
        <f t="shared" si="3"/>
        <v>2031</v>
      </c>
      <c r="I17" s="79">
        <f t="shared" si="10"/>
        <v>14152.092311039612</v>
      </c>
      <c r="J17" s="50">
        <f t="shared" si="4"/>
        <v>97587.90611003837</v>
      </c>
      <c r="K17" s="50">
        <f>IF(H17=Year_Open_to_Traffic?,Calculations!$E$4,K16+(K16*M17))</f>
        <v>93287.422111968917</v>
      </c>
      <c r="L17" s="50">
        <f>IF(AND(H17&gt;=Year_Open_to_Traffic?, Calculations!H17&lt;Year_Open_to_Traffic?+'Inputs &amp; Outputs'!B$21), 1, 0)</f>
        <v>1</v>
      </c>
      <c r="M17" s="65">
        <f t="shared" si="11"/>
        <v>2.0076492698734683E-2</v>
      </c>
      <c r="N17" s="71">
        <f t="shared" si="12"/>
        <v>0.63776891892922993</v>
      </c>
      <c r="O17" s="72">
        <f t="shared" si="7"/>
        <v>1</v>
      </c>
      <c r="P17" s="68">
        <f t="shared" si="8"/>
        <v>4300.4839980694524</v>
      </c>
      <c r="Q17" s="69">
        <f t="shared" si="0"/>
        <v>1</v>
      </c>
      <c r="R17" s="70">
        <f t="shared" si="1"/>
        <v>23.82634547767476</v>
      </c>
      <c r="S17" s="77">
        <f t="shared" si="2"/>
        <v>142.42609626830853</v>
      </c>
      <c r="T17" s="64">
        <f t="shared" si="9"/>
        <v>59.101766402898356</v>
      </c>
      <c r="W17" s="58"/>
    </row>
    <row r="18" spans="1:23">
      <c r="H18" s="49">
        <f t="shared" si="3"/>
        <v>2032</v>
      </c>
      <c r="I18" s="79">
        <f t="shared" si="10"/>
        <v>14436.216688994018</v>
      </c>
      <c r="J18" s="50">
        <f t="shared" si="4"/>
        <v>99547.128994541359</v>
      </c>
      <c r="K18" s="50">
        <f>IF(H18=Year_Open_to_Traffic?,Calculations!$E$4,K17+(K17*M18))</f>
        <v>95160.306360883638</v>
      </c>
      <c r="L18" s="50">
        <f>IF(AND(H18&gt;=Year_Open_to_Traffic?, Calculations!H18&lt;Year_Open_to_Traffic?+'Inputs &amp; Outputs'!B$21), 1, 0)</f>
        <v>1</v>
      </c>
      <c r="M18" s="65">
        <f t="shared" si="11"/>
        <v>2.0076492698734683E-2</v>
      </c>
      <c r="N18" s="71">
        <f t="shared" si="12"/>
        <v>0.65057308197359254</v>
      </c>
      <c r="O18" s="72">
        <f t="shared" si="7"/>
        <v>1</v>
      </c>
      <c r="P18" s="68">
        <f t="shared" si="8"/>
        <v>4386.8226336577209</v>
      </c>
      <c r="Q18" s="69">
        <f t="shared" si="0"/>
        <v>1</v>
      </c>
      <c r="R18" s="70">
        <f t="shared" si="1"/>
        <v>24.374351423661277</v>
      </c>
      <c r="S18" s="77">
        <f t="shared" si="2"/>
        <v>148.62707954340198</v>
      </c>
      <c r="T18" s="64">
        <f t="shared" si="9"/>
        <v>57.640143928984642</v>
      </c>
      <c r="W18" s="58"/>
    </row>
    <row r="19" spans="1:23">
      <c r="H19" s="14">
        <f t="shared" si="3"/>
        <v>2033</v>
      </c>
      <c r="I19" s="79">
        <f t="shared" si="10"/>
        <v>14726.045287947958</v>
      </c>
      <c r="J19" s="50">
        <f t="shared" si="4"/>
        <v>101545.68620298027</v>
      </c>
      <c r="K19" s="50">
        <f>IF(H19=Year_Open_to_Traffic?,Calculations!$E$4,K18+(K18*M19))</f>
        <v>97070.791556747281</v>
      </c>
      <c r="L19" s="50">
        <f>IF(AND(H19&gt;=Year_Open_to_Traffic?, Calculations!H19&lt;Year_Open_to_Traffic?+'Inputs &amp; Outputs'!B$21), 1, 0)</f>
        <v>1</v>
      </c>
      <c r="M19" s="65">
        <f t="shared" si="11"/>
        <v>2.0076492698734683E-2</v>
      </c>
      <c r="N19" s="71">
        <f t="shared" si="12"/>
        <v>0.6636343077038287</v>
      </c>
      <c r="O19" s="72">
        <f t="shared" si="7"/>
        <v>1</v>
      </c>
      <c r="P19" s="68">
        <f t="shared" si="8"/>
        <v>4474.8946462329914</v>
      </c>
      <c r="Q19" s="69">
        <f t="shared" si="0"/>
        <v>1</v>
      </c>
      <c r="R19" s="70">
        <f t="shared" si="1"/>
        <v>24.934961506405479</v>
      </c>
      <c r="S19" s="77">
        <f t="shared" si="2"/>
        <v>155.09804279116503</v>
      </c>
      <c r="T19" s="64">
        <f t="shared" si="9"/>
        <v>56.21466826397814</v>
      </c>
      <c r="W19" s="58"/>
    </row>
    <row r="20" spans="1:23">
      <c r="H20" s="49">
        <f t="shared" si="3"/>
        <v>2034</v>
      </c>
      <c r="I20" s="79">
        <f t="shared" si="10"/>
        <v>15021.692628652681</v>
      </c>
      <c r="J20" s="50">
        <f t="shared" si="4"/>
        <v>103584.36743062241</v>
      </c>
      <c r="K20" s="50">
        <f>IF(H20=Year_Open_to_Traffic?,Calculations!$E$4,K19+(K19*M20))</f>
        <v>99019.632594696712</v>
      </c>
      <c r="L20" s="50">
        <f>IF(AND(H20&gt;=Year_Open_to_Traffic?, Calculations!H20&lt;Year_Open_to_Traffic?+'Inputs &amp; Outputs'!B$21), 1, 0)</f>
        <v>1</v>
      </c>
      <c r="M20" s="65">
        <f t="shared" si="11"/>
        <v>2.0076492698734683E-2</v>
      </c>
      <c r="N20" s="71">
        <f t="shared" si="12"/>
        <v>0.6769577570370745</v>
      </c>
      <c r="O20" s="72">
        <f t="shared" si="7"/>
        <v>1</v>
      </c>
      <c r="P20" s="68">
        <f t="shared" si="8"/>
        <v>4564.7348359257012</v>
      </c>
      <c r="Q20" s="69">
        <f t="shared" si="0"/>
        <v>1</v>
      </c>
      <c r="R20" s="70">
        <f t="shared" si="1"/>
        <v>25.508465621052807</v>
      </c>
      <c r="S20" s="77">
        <f t="shared" si="2"/>
        <v>161.85074046769168</v>
      </c>
      <c r="T20" s="64">
        <f t="shared" si="9"/>
        <v>54.824445475405085</v>
      </c>
      <c r="W20" s="58"/>
    </row>
    <row r="21" spans="1:23">
      <c r="H21" s="14">
        <f t="shared" si="3"/>
        <v>2035</v>
      </c>
      <c r="I21" s="79">
        <f t="shared" si="10"/>
        <v>15323.275531034464</v>
      </c>
      <c r="J21" s="50">
        <f t="shared" si="4"/>
        <v>105663.97822704635</v>
      </c>
      <c r="K21" s="50">
        <f>IF(H21=Year_Open_to_Traffic?,Calculations!$E$4,K20+(K20*M21))</f>
        <v>101007.59952551553</v>
      </c>
      <c r="L21" s="50">
        <f>IF(AND(H21&gt;=Year_Open_to_Traffic?, Calculations!H21&lt;Year_Open_to_Traffic?+'Inputs &amp; Outputs'!B$21), 1, 0)</f>
        <v>1</v>
      </c>
      <c r="M21" s="65">
        <f t="shared" si="11"/>
        <v>2.0076492698734683E-2</v>
      </c>
      <c r="N21" s="71">
        <f t="shared" si="12"/>
        <v>0.69054869450358114</v>
      </c>
      <c r="O21" s="72">
        <f t="shared" si="7"/>
        <v>1</v>
      </c>
      <c r="P21" s="68">
        <f t="shared" si="8"/>
        <v>4656.3787015308189</v>
      </c>
      <c r="Q21" s="69">
        <f t="shared" si="0"/>
        <v>1</v>
      </c>
      <c r="R21" s="70">
        <f t="shared" si="1"/>
        <v>26.095160330337016</v>
      </c>
      <c r="S21" s="77">
        <f t="shared" si="2"/>
        <v>168.89743879754639</v>
      </c>
      <c r="T21" s="64">
        <f t="shared" si="9"/>
        <v>53.468603738282596</v>
      </c>
      <c r="W21" s="58"/>
    </row>
    <row r="22" spans="1:23">
      <c r="H22" s="49">
        <f>H21+1</f>
        <v>2036</v>
      </c>
      <c r="I22" s="79">
        <f t="shared" si="10"/>
        <v>15630.913160353977</v>
      </c>
      <c r="J22" s="50">
        <f t="shared" si="4"/>
        <v>107785.34031444091</v>
      </c>
      <c r="K22" s="50">
        <f>IF(H22=Year_Open_to_Traffic?,Calculations!$E$4,K21+(K21*M22))</f>
        <v>103035.47785990626</v>
      </c>
      <c r="L22" s="50">
        <f>IF(AND(H22&gt;=Year_Open_to_Traffic?, Calculations!H22&lt;Year_Open_to_Traffic?+'Inputs &amp; Outputs'!B$21), 1, 0)</f>
        <v>1</v>
      </c>
      <c r="M22" s="65">
        <f t="shared" si="11"/>
        <v>2.0076492698734683E-2</v>
      </c>
      <c r="N22" s="71">
        <f t="shared" si="12"/>
        <v>0.70441249032690301</v>
      </c>
      <c r="O22" s="72">
        <f t="shared" si="7"/>
        <v>1</v>
      </c>
      <c r="P22" s="68">
        <f t="shared" si="8"/>
        <v>4749.8624545346538</v>
      </c>
      <c r="Q22" s="69">
        <f t="shared" si="0"/>
        <v>1</v>
      </c>
      <c r="R22" s="70">
        <f t="shared" si="1"/>
        <v>26.695349017934767</v>
      </c>
      <c r="S22" s="77">
        <f t="shared" si="2"/>
        <v>176.25093805527177</v>
      </c>
      <c r="T22" s="64">
        <f t="shared" si="9"/>
        <v>52.146292788388131</v>
      </c>
      <c r="W22" s="58"/>
    </row>
    <row r="23" spans="1:23">
      <c r="H23" s="14">
        <f t="shared" si="3"/>
        <v>2037</v>
      </c>
      <c r="I23" s="79">
        <f t="shared" si="10"/>
        <v>15944.727074292379</v>
      </c>
      <c r="J23" s="50">
        <f t="shared" si="4"/>
        <v>109949.29191229441</v>
      </c>
      <c r="K23" s="50">
        <f>IF(H23=Year_Open_to_Traffic?,Calculations!$E$4,K22+(K22*M23))</f>
        <v>105104.0688788713</v>
      </c>
      <c r="L23" s="50">
        <f>IF(AND(H23&gt;=Year_Open_to_Traffic?, Calculations!H23&lt;Year_Open_to_Traffic?+'Inputs &amp; Outputs'!B$21), 1, 0)</f>
        <v>1</v>
      </c>
      <c r="M23" s="65">
        <f t="shared" si="11"/>
        <v>2.0076492698734683E-2</v>
      </c>
      <c r="N23" s="71">
        <f t="shared" si="12"/>
        <v>0.71855462254584856</v>
      </c>
      <c r="O23" s="72">
        <f t="shared" si="7"/>
        <v>1</v>
      </c>
      <c r="P23" s="68">
        <f t="shared" si="8"/>
        <v>4845.2230334231135</v>
      </c>
      <c r="Q23" s="69">
        <f t="shared" si="0"/>
        <v>1</v>
      </c>
      <c r="R23" s="70">
        <f t="shared" si="1"/>
        <v>27.309342045347261</v>
      </c>
      <c r="S23" s="77">
        <f t="shared" si="2"/>
        <v>183.9245958169881</v>
      </c>
      <c r="T23" s="64">
        <f t="shared" si="9"/>
        <v>50.856683389047802</v>
      </c>
      <c r="W23" s="58"/>
    </row>
    <row r="24" spans="1:23">
      <c r="H24" s="49">
        <f t="shared" si="3"/>
        <v>2038</v>
      </c>
      <c r="I24" s="79">
        <f t="shared" si="10"/>
        <v>16264.841270982728</v>
      </c>
      <c r="J24" s="50">
        <f t="shared" si="4"/>
        <v>112156.68806860264</v>
      </c>
      <c r="K24" s="50">
        <f>IF(H24=Year_Open_to_Traffic?,Calculations!$E$4,K23+(K23*M24))</f>
        <v>107214.18995032526</v>
      </c>
      <c r="L24" s="50">
        <f>IF(AND(H24&gt;=Year_Open_to_Traffic?, Calculations!H24&lt;Year_Open_to_Traffic?+'Inputs &amp; Outputs'!B$21), 1, 0)</f>
        <v>1</v>
      </c>
      <c r="M24" s="65">
        <f t="shared" si="11"/>
        <v>2.0076492698734683E-2</v>
      </c>
      <c r="N24" s="71">
        <f t="shared" si="12"/>
        <v>0.73298067917903231</v>
      </c>
      <c r="O24" s="72">
        <f t="shared" si="7"/>
        <v>1</v>
      </c>
      <c r="P24" s="68">
        <f>(J24-K24)*L24</f>
        <v>4942.4981182773772</v>
      </c>
      <c r="Q24" s="69">
        <f t="shared" si="0"/>
        <v>1</v>
      </c>
      <c r="R24" s="70">
        <f t="shared" si="1"/>
        <v>27.93745691239025</v>
      </c>
      <c r="S24" s="77">
        <f t="shared" si="2"/>
        <v>191.93235122433228</v>
      </c>
      <c r="T24" s="64">
        <f t="shared" si="9"/>
        <v>49.598966811113158</v>
      </c>
      <c r="W24" s="58"/>
    </row>
    <row r="25" spans="1:23">
      <c r="H25" s="14">
        <f t="shared" si="3"/>
        <v>2039</v>
      </c>
      <c r="I25" s="79">
        <f t="shared" si="10"/>
        <v>16591.382238005692</v>
      </c>
      <c r="J25" s="50">
        <f t="shared" si="4"/>
        <v>114408.4009977262</v>
      </c>
      <c r="K25" s="50">
        <f>IF(H25=Year_Open_to_Traffic?,Calculations!$E$4,K24+(K24*M25))</f>
        <v>109366.67485206372</v>
      </c>
      <c r="L25" s="50">
        <f>IF(AND(H25&gt;=Year_Open_to_Traffic?, Calculations!H25&lt;Year_Open_to_Traffic?+'Inputs &amp; Outputs'!B$21), 1, 0)</f>
        <v>1</v>
      </c>
      <c r="M25" s="65">
        <f t="shared" si="11"/>
        <v>2.0076492698734683E-2</v>
      </c>
      <c r="N25" s="71">
        <f t="shared" si="12"/>
        <v>0.74769636043288379</v>
      </c>
      <c r="O25" s="72">
        <f t="shared" si="7"/>
        <v>1</v>
      </c>
      <c r="P25" s="68">
        <f t="shared" si="8"/>
        <v>5041.7261456624838</v>
      </c>
      <c r="Q25" s="69">
        <f t="shared" si="0"/>
        <v>1</v>
      </c>
      <c r="R25" s="70">
        <f t="shared" si="1"/>
        <v>28.580018421375218</v>
      </c>
      <c r="S25" s="77">
        <f t="shared" si="2"/>
        <v>200.28875030480236</v>
      </c>
      <c r="T25" s="64">
        <f t="shared" si="9"/>
        <v>48.372354325797161</v>
      </c>
      <c r="W25" s="58"/>
    </row>
    <row r="26" spans="1:23">
      <c r="H26" s="49">
        <f t="shared" si="3"/>
        <v>2040</v>
      </c>
      <c r="I26" s="79">
        <f t="shared" si="10"/>
        <v>16924.479002368931</v>
      </c>
      <c r="J26" s="50">
        <f t="shared" si="4"/>
        <v>116705.32042503096</v>
      </c>
      <c r="K26" s="50">
        <f>IF(H26=Year_Open_to_Traffic?,Calculations!$E$4,K25+(K25*M26))</f>
        <v>111562.37410121606</v>
      </c>
      <c r="L26" s="50">
        <f>IF(AND(H26&gt;=Year_Open_to_Traffic?, Calculations!H26&lt;Year_Open_to_Traffic?+'Inputs &amp; Outputs'!B$21), 1, 0)</f>
        <v>1</v>
      </c>
      <c r="M26" s="65">
        <f t="shared" si="11"/>
        <v>2.0076492698734683E-2</v>
      </c>
      <c r="N26" s="71">
        <f t="shared" si="12"/>
        <v>0.76270748095398511</v>
      </c>
      <c r="O26" s="72">
        <f t="shared" si="7"/>
        <v>1</v>
      </c>
      <c r="P26" s="68">
        <f t="shared" si="8"/>
        <v>5142.9463238149037</v>
      </c>
      <c r="Q26" s="69">
        <f t="shared" si="0"/>
        <v>1</v>
      </c>
      <c r="R26" s="70">
        <f t="shared" si="1"/>
        <v>29.237358845066851</v>
      </c>
      <c r="S26" s="77">
        <f t="shared" si="2"/>
        <v>209.00897239450825</v>
      </c>
      <c r="T26" s="64">
        <f t="shared" si="9"/>
        <v>47.176076710053479</v>
      </c>
      <c r="W26" s="58"/>
    </row>
    <row r="27" spans="1:23">
      <c r="H27" s="14">
        <f t="shared" si="3"/>
        <v>2041</v>
      </c>
      <c r="I27" s="79">
        <f t="shared" si="10"/>
        <v>17264.263181489878</v>
      </c>
      <c r="J27" s="50">
        <f t="shared" si="4"/>
        <v>119048.35393844759</v>
      </c>
      <c r="K27" s="50">
        <f>IF(H27=Year_Open_to_Traffic?,Calculations!$E$4,K26+(K26*M27))</f>
        <v>113802.15529031263</v>
      </c>
      <c r="L27" s="50">
        <f>IF(AND(H27&gt;=Year_Open_to_Traffic?, Calculations!H27&lt;Year_Open_to_Traffic?+'Inputs &amp; Outputs'!B$21), 1, 0)</f>
        <v>1</v>
      </c>
      <c r="M27" s="65">
        <f t="shared" si="11"/>
        <v>2.0076492698734683E-2</v>
      </c>
      <c r="N27" s="71">
        <f t="shared" si="12"/>
        <v>0.7780199721266281</v>
      </c>
      <c r="O27" s="72">
        <f t="shared" si="7"/>
        <v>1</v>
      </c>
      <c r="P27" s="68">
        <f t="shared" si="8"/>
        <v>5246.1986481349595</v>
      </c>
      <c r="Q27" s="69">
        <f t="shared" si="0"/>
        <v>1</v>
      </c>
      <c r="R27" s="70">
        <f t="shared" si="1"/>
        <v>29.909818098503379</v>
      </c>
      <c r="S27" s="77">
        <f t="shared" si="2"/>
        <v>218.10885771132004</v>
      </c>
      <c r="T27" s="64">
        <f t="shared" si="9"/>
        <v>46.009383764187298</v>
      </c>
      <c r="W27" s="58"/>
    </row>
    <row r="28" spans="1:23">
      <c r="H28" s="49">
        <f t="shared" si="3"/>
        <v>2042</v>
      </c>
      <c r="I28" s="79">
        <f t="shared" si="10"/>
        <v>17610.869035202093</v>
      </c>
      <c r="J28" s="50">
        <f t="shared" si="4"/>
        <v>121438.42734708921</v>
      </c>
      <c r="K28" s="50">
        <f>IF(H28=Year_Open_to_Traffic?,Calculations!$E$4,K27+(K27*M28))</f>
        <v>116086.90343009886</v>
      </c>
      <c r="L28" s="50">
        <f>IF(AND(H28&gt;=Year_Open_to_Traffic?, Calculations!H28&lt;Year_Open_to_Traffic?+'Inputs &amp; Outputs'!B$21), 1, 0)</f>
        <v>1</v>
      </c>
      <c r="M28" s="65">
        <f t="shared" si="11"/>
        <v>2.0076492698734683E-2</v>
      </c>
      <c r="N28" s="71">
        <f t="shared" si="12"/>
        <v>0.79363988441649813</v>
      </c>
      <c r="O28" s="72">
        <f t="shared" si="7"/>
        <v>1</v>
      </c>
      <c r="P28" s="68">
        <f t="shared" si="8"/>
        <v>5351.5239169903507</v>
      </c>
      <c r="Q28" s="69">
        <f t="shared" si="0"/>
        <v>1</v>
      </c>
      <c r="R28" s="70">
        <f t="shared" si="1"/>
        <v>30.597743914768959</v>
      </c>
      <c r="S28" s="77">
        <f t="shared" si="2"/>
        <v>227.60493612850652</v>
      </c>
      <c r="T28" s="64">
        <f t="shared" si="9"/>
        <v>44.871543841396743</v>
      </c>
      <c r="W28" s="58"/>
    </row>
    <row r="29" spans="1:23">
      <c r="H29" s="14">
        <f t="shared" si="3"/>
        <v>2043</v>
      </c>
      <c r="I29" s="79">
        <f t="shared" si="10"/>
        <v>17964.433518805701</v>
      </c>
      <c r="J29" s="50">
        <f t="shared" si="4"/>
        <v>123876.48504706887</v>
      </c>
      <c r="K29" s="50">
        <f>IF(H29=Year_Open_to_Traffic?,Calculations!$E$4,K28+(K28*M29))</f>
        <v>118417.52129923196</v>
      </c>
      <c r="L29" s="50">
        <f>IF(AND(H29&gt;=Year_Open_to_Traffic?, Calculations!H29&lt;Year_Open_to_Traffic?+'Inputs &amp; Outputs'!B$21), 1, 0)</f>
        <v>1</v>
      </c>
      <c r="M29" s="65">
        <f t="shared" si="11"/>
        <v>2.0076492698734683E-2</v>
      </c>
      <c r="N29" s="71">
        <f t="shared" si="12"/>
        <v>0.80957338976141058</v>
      </c>
      <c r="O29" s="72">
        <f t="shared" si="7"/>
        <v>1</v>
      </c>
      <c r="P29" s="68">
        <f t="shared" si="8"/>
        <v>5458.9637478369114</v>
      </c>
      <c r="Q29" s="69">
        <f t="shared" si="0"/>
        <v>1</v>
      </c>
      <c r="R29" s="70">
        <f t="shared" si="1"/>
        <v>31.301492024808638</v>
      </c>
      <c r="S29" s="77">
        <f t="shared" si="2"/>
        <v>237.5144572011248</v>
      </c>
      <c r="T29" s="64">
        <f t="shared" si="9"/>
        <v>43.761843388948414</v>
      </c>
      <c r="W29" s="58"/>
    </row>
    <row r="30" spans="1:23">
      <c r="H30" s="14">
        <f t="shared" si="3"/>
        <v>2044</v>
      </c>
      <c r="I30" s="79">
        <f t="shared" si="10"/>
        <v>18325.096337182909</v>
      </c>
      <c r="J30" s="50">
        <f t="shared" si="4"/>
        <v>126363.49039466126</v>
      </c>
      <c r="K30" s="50">
        <f>IF(H30=Year_Open_to_Traffic?,Calculations!$E$4,K29+(K29*M30))</f>
        <v>120794.92980099824</v>
      </c>
      <c r="L30" s="50">
        <f>IF(AND(H30&gt;=Year_Open_to_Traffic?, Calculations!H30&lt;Year_Open_to_Traffic?+'Inputs &amp; Outputs'!B$21), 1, 0)</f>
        <v>1</v>
      </c>
      <c r="M30" s="65">
        <f t="shared" si="11"/>
        <v>2.0076492698734683E-2</v>
      </c>
      <c r="N30" s="71">
        <f t="shared" si="12"/>
        <v>0.82582678401004539</v>
      </c>
      <c r="O30" s="72">
        <f t="shared" si="7"/>
        <v>1</v>
      </c>
      <c r="P30" s="68">
        <f t="shared" si="8"/>
        <v>5568.5605936630163</v>
      </c>
      <c r="Q30" s="69">
        <f t="shared" si="0"/>
        <v>1</v>
      </c>
      <c r="R30" s="70">
        <f t="shared" si="1"/>
        <v>32.021426341379232</v>
      </c>
      <c r="S30" s="77">
        <f t="shared" si="2"/>
        <v>247.85542149970729</v>
      </c>
      <c r="T30" s="64">
        <f t="shared" si="9"/>
        <v>42.679586500700083</v>
      </c>
      <c r="W30" s="58"/>
    </row>
    <row r="31" spans="1:23">
      <c r="H31" s="14">
        <f t="shared" si="3"/>
        <v>2045</v>
      </c>
      <c r="I31" s="79">
        <f t="shared" si="10"/>
        <v>18692.999999999971</v>
      </c>
      <c r="J31" s="50">
        <f t="shared" si="4"/>
        <v>128900.42608695631</v>
      </c>
      <c r="K31" s="50">
        <f>IF(H31=Year_Open_to_Traffic?,Calculations!$E$4,K30+(K30*M31))</f>
        <v>123220.06832719216</v>
      </c>
      <c r="L31" s="50">
        <f>IF(AND(H31&gt;=Year_Open_to_Traffic?, Calculations!H31&lt;Year_Open_to_Traffic?+'Inputs &amp; Outputs'!B$21), 1, 0)</f>
        <v>1</v>
      </c>
      <c r="M31" s="65">
        <f t="shared" si="11"/>
        <v>2.0076492698734683E-2</v>
      </c>
      <c r="N31" s="71">
        <f t="shared" si="12"/>
        <v>0.84240648940964258</v>
      </c>
      <c r="O31" s="72">
        <f t="shared" si="7"/>
        <v>1</v>
      </c>
      <c r="P31" s="68">
        <f t="shared" si="8"/>
        <v>5680.3577597641561</v>
      </c>
      <c r="Q31" s="69">
        <f t="shared" si="0"/>
        <v>1</v>
      </c>
      <c r="R31" s="70">
        <f t="shared" si="1"/>
        <v>32.757919147230957</v>
      </c>
      <c r="S31" s="77">
        <f t="shared" si="2"/>
        <v>258.6466133081633</v>
      </c>
      <c r="T31" s="64">
        <f t="shared" si="9"/>
        <v>41.624094480689863</v>
      </c>
      <c r="W31" s="58"/>
    </row>
    <row r="32" spans="1:23">
      <c r="H32" s="14">
        <f t="shared" si="3"/>
        <v>2046</v>
      </c>
      <c r="I32" s="79">
        <f t="shared" si="10"/>
        <v>19068.289878017418</v>
      </c>
      <c r="J32" s="50">
        <f t="shared" si="4"/>
        <v>131488.29455015488</v>
      </c>
      <c r="K32" s="50">
        <f>IF(H32=Year_Open_to_Traffic?,Calculations!$E$4,K31+(K31*M32))</f>
        <v>125693.89512930062</v>
      </c>
      <c r="L32" s="50">
        <f>IF(AND(H32&gt;=Year_Open_to_Traffic?, Calculations!H32&lt;Year_Open_to_Traffic?+'Inputs &amp; Outputs'!B$21), 1, 0)</f>
        <v>1</v>
      </c>
      <c r="M32" s="65">
        <f t="shared" si="11"/>
        <v>2.0076492698734683E-2</v>
      </c>
      <c r="N32" s="71">
        <f t="shared" si="12"/>
        <v>0.85931905714364198</v>
      </c>
      <c r="O32" s="72">
        <f t="shared" si="7"/>
        <v>1</v>
      </c>
      <c r="P32" s="68">
        <f t="shared" si="8"/>
        <v>5794.3994208542572</v>
      </c>
      <c r="Q32" s="69">
        <f t="shared" si="0"/>
        <v>1</v>
      </c>
      <c r="R32" s="70">
        <f t="shared" si="1"/>
        <v>33.511351287617266</v>
      </c>
      <c r="S32" s="77">
        <f t="shared" si="2"/>
        <v>269.90763474528814</v>
      </c>
      <c r="T32" s="64">
        <f t="shared" si="9"/>
        <v>40.594705417517915</v>
      </c>
      <c r="W32" s="58"/>
    </row>
    <row r="33" spans="8:23">
      <c r="H33" s="14">
        <f t="shared" si="3"/>
        <v>2047</v>
      </c>
      <c r="I33" s="79">
        <f t="shared" si="10"/>
        <v>19451.11426053079</v>
      </c>
      <c r="J33" s="50">
        <f t="shared" si="4"/>
        <v>134128.11833566014</v>
      </c>
      <c r="K33" s="50">
        <f>IF(H33=Year_Open_to_Traffic?,Calculations!$E$4,K32+(K32*M33))</f>
        <v>128217.38769713955</v>
      </c>
      <c r="L33" s="50">
        <f>IF(AND(H33&gt;=Year_Open_to_Traffic?, Calculations!H33&lt;Year_Open_to_Traffic?+'Inputs &amp; Outputs'!B$21), 1, 0)</f>
        <v>1</v>
      </c>
      <c r="M33" s="65">
        <f t="shared" si="11"/>
        <v>2.0076492698734683E-2</v>
      </c>
      <c r="N33" s="71">
        <f t="shared" si="12"/>
        <v>0.87657116992026984</v>
      </c>
      <c r="O33" s="72">
        <f t="shared" si="7"/>
        <v>1</v>
      </c>
      <c r="P33" s="68">
        <f t="shared" si="8"/>
        <v>5910.7306385205884</v>
      </c>
      <c r="Q33" s="69">
        <f t="shared" si="0"/>
        <v>1</v>
      </c>
      <c r="R33" s="70">
        <f t="shared" si="1"/>
        <v>34.282112367232457</v>
      </c>
      <c r="S33" s="77">
        <f t="shared" si="2"/>
        <v>281.65894137186694</v>
      </c>
      <c r="T33" s="64">
        <f t="shared" si="9"/>
        <v>39.590773769254291</v>
      </c>
      <c r="W33" s="58"/>
    </row>
    <row r="34" spans="8:23">
      <c r="H34" s="14">
        <f t="shared" si="3"/>
        <v>2048</v>
      </c>
      <c r="I34" s="79">
        <f t="shared" si="10"/>
        <v>19841.62441396459</v>
      </c>
      <c r="J34" s="50">
        <f t="shared" si="4"/>
        <v>136820.94052412105</v>
      </c>
      <c r="K34" s="50">
        <f>IF(H34=Year_Open_to_Traffic?,Calculations!$E$4,K33+(K33*M34))</f>
        <v>130791.543145092</v>
      </c>
      <c r="L34" s="50">
        <f>IF(AND(H34&gt;=Year_Open_to_Traffic?, Calculations!H34&lt;Year_Open_to_Traffic?+'Inputs &amp; Outputs'!B$21), 1, 0)</f>
        <v>1</v>
      </c>
      <c r="M34" s="65">
        <f t="shared" si="11"/>
        <v>2.0076492698734683E-2</v>
      </c>
      <c r="N34" s="71">
        <f t="shared" si="12"/>
        <v>0.89416964461309545</v>
      </c>
      <c r="O34" s="72">
        <f t="shared" si="7"/>
        <v>1</v>
      </c>
      <c r="P34" s="68">
        <f t="shared" si="8"/>
        <v>6029.3973790290474</v>
      </c>
      <c r="Q34" s="69">
        <f t="shared" si="0"/>
        <v>1</v>
      </c>
      <c r="R34" s="70">
        <f t="shared" si="1"/>
        <v>35.070600951678806</v>
      </c>
      <c r="S34" s="77">
        <f t="shared" si="2"/>
        <v>293.92187934804588</v>
      </c>
      <c r="T34" s="64">
        <f t="shared" si="9"/>
        <v>38.611669958611955</v>
      </c>
      <c r="W34" s="58"/>
    </row>
    <row r="35" spans="8:23">
      <c r="H35" s="14">
        <f t="shared" si="3"/>
        <v>2049</v>
      </c>
      <c r="I35" s="79">
        <f t="shared" si="10"/>
        <v>20239.974641642584</v>
      </c>
      <c r="J35" s="50">
        <f t="shared" si="4"/>
        <v>139567.82513758758</v>
      </c>
      <c r="K35" s="50">
        <f>IF(H35=Year_Open_to_Traffic?,Calculations!$E$4,K34+(K34*M35))</f>
        <v>133417.37860610068</v>
      </c>
      <c r="L35" s="50">
        <f>IF(AND(H35&gt;=Year_Open_to_Traffic?, Calculations!H35&lt;Year_Open_to_Traffic?+'Inputs &amp; Outputs'!B$21), 1, 0)</f>
        <v>1</v>
      </c>
      <c r="M35" s="65">
        <f t="shared" si="11"/>
        <v>2.0076492698734683E-2</v>
      </c>
      <c r="N35" s="71">
        <f t="shared" si="12"/>
        <v>0.91212143495460041</v>
      </c>
      <c r="O35" s="72">
        <f t="shared" si="7"/>
        <v>1</v>
      </c>
      <c r="P35" s="68">
        <f t="shared" si="8"/>
        <v>6150.4465314869012</v>
      </c>
      <c r="Q35" s="69">
        <f t="shared" si="0"/>
        <v>1</v>
      </c>
      <c r="R35" s="70">
        <f t="shared" si="1"/>
        <v>35.877224773567399</v>
      </c>
      <c r="S35" s="77">
        <f t="shared" si="2"/>
        <v>306.71872420846927</v>
      </c>
      <c r="T35" s="64">
        <f t="shared" si="9"/>
        <v>37.656779978131119</v>
      </c>
      <c r="W35" s="58"/>
    </row>
    <row r="36" spans="8:23">
      <c r="H36" s="14">
        <f t="shared" si="3"/>
        <v>2050</v>
      </c>
      <c r="I36" s="79">
        <f t="shared" si="10"/>
        <v>20646.322344758097</v>
      </c>
      <c r="J36" s="50">
        <f t="shared" si="4"/>
        <v>142369.85755994063</v>
      </c>
      <c r="K36" s="50">
        <f>IF(H36=Year_Open_to_Traffic?,Calculations!$E$4,K35+(K35*M36))</f>
        <v>136095.93163357038</v>
      </c>
      <c r="L36" s="50">
        <f>IF(AND(H36&gt;=Year_Open_to_Traffic?, Calculations!H36&lt;Year_Open_to_Traffic?+'Inputs &amp; Outputs'!B$21), 1, 0)</f>
        <v>1</v>
      </c>
      <c r="M36" s="65">
        <f t="shared" si="11"/>
        <v>2.0076492698734683E-2</v>
      </c>
      <c r="N36" s="71">
        <f t="shared" si="12"/>
        <v>0.93043363428382586</v>
      </c>
      <c r="O36" s="72">
        <f t="shared" si="7"/>
        <v>1</v>
      </c>
      <c r="P36" s="68">
        <f t="shared" si="8"/>
        <v>6273.9259263702552</v>
      </c>
      <c r="Q36" s="69">
        <f t="shared" si="0"/>
        <v>1</v>
      </c>
      <c r="R36" s="70">
        <f t="shared" si="1"/>
        <v>36.702400943359457</v>
      </c>
      <c r="S36" s="77">
        <f t="shared" si="2"/>
        <v>320.0727213256248</v>
      </c>
      <c r="T36" s="64">
        <f t="shared" si="9"/>
        <v>36.725505005128589</v>
      </c>
      <c r="W36" s="58"/>
    </row>
    <row r="37" spans="8:23">
      <c r="H37" s="44"/>
      <c r="I37" s="44"/>
      <c r="J37" s="44"/>
      <c r="K37" s="44"/>
      <c r="L37" s="44"/>
      <c r="M37" s="60"/>
      <c r="N37" s="61"/>
      <c r="O37" s="44"/>
      <c r="P37" s="44"/>
      <c r="Q37" s="44"/>
      <c r="R37" s="44"/>
      <c r="S37" s="59"/>
      <c r="T37" s="64">
        <f>SUM(T4:T36)</f>
        <v>1397.9352165418027</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73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52</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3D8354-9925-46C9-B9B9-7D1D4AD4F277}"/>
</file>

<file path=customXml/itemProps2.xml><?xml version="1.0" encoding="utf-8"?>
<ds:datastoreItem xmlns:ds="http://schemas.openxmlformats.org/officeDocument/2006/customXml" ds:itemID="{E680798B-AF30-49E2-8399-8E54766AC481}"/>
</file>

<file path=customXml/itemProps3.xml><?xml version="1.0" encoding="utf-8"?>
<ds:datastoreItem xmlns:ds="http://schemas.openxmlformats.org/officeDocument/2006/customXml" ds:itemID="{898FFAEA-3C08-4BAD-AD57-634C8977181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