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5_US90/"/>
    </mc:Choice>
  </mc:AlternateContent>
  <xr:revisionPtr revIDLastSave="12" documentId="8_{729A4CBD-8437-402A-A860-053F9A5EB019}" xr6:coauthVersionLast="40" xr6:coauthVersionMax="40" xr10:uidLastSave="{84536E27-E353-4CFD-B0E7-B1ED370039B5}"/>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17" i="12"/>
  <c r="D26" i="12"/>
  <c r="E18" i="12"/>
  <c r="E26" i="12"/>
  <c r="E22" i="12"/>
  <c r="I26" i="12"/>
  <c r="E21" i="12"/>
  <c r="H26" i="12"/>
  <c r="E20" i="12"/>
  <c r="G26" i="12"/>
  <c r="S36" i="12"/>
  <c r="P36" i="12"/>
  <c r="Q36" i="12"/>
  <c r="G33" i="12"/>
  <c r="G27" i="12"/>
  <c r="G31" i="12"/>
  <c r="G28" i="12"/>
  <c r="G29" i="12"/>
  <c r="G30" i="12"/>
  <c r="G32" i="12"/>
  <c r="I31" i="12"/>
  <c r="I27" i="12"/>
  <c r="I30" i="12"/>
  <c r="I28" i="12"/>
  <c r="I29" i="12"/>
  <c r="I33" i="12"/>
  <c r="I32" i="12"/>
  <c r="E28" i="12"/>
  <c r="E33" i="12"/>
  <c r="E30" i="12"/>
  <c r="E32" i="12"/>
  <c r="E29" i="12"/>
  <c r="E31" i="12"/>
  <c r="E27" i="12"/>
  <c r="D27" i="12"/>
  <c r="D29" i="12"/>
  <c r="D28" i="12"/>
  <c r="D31" i="12"/>
  <c r="D33" i="12"/>
  <c r="D32" i="12"/>
  <c r="D30" i="12"/>
  <c r="H31" i="12"/>
  <c r="H32" i="12"/>
  <c r="H27" i="12"/>
  <c r="H30" i="12"/>
  <c r="H33" i="12"/>
  <c r="H28" i="12"/>
  <c r="H29" i="12"/>
  <c r="F28" i="12"/>
  <c r="F29" i="12"/>
  <c r="F27" i="12"/>
  <c r="F31" i="12"/>
  <c r="F32" i="12"/>
  <c r="F33" i="12"/>
  <c r="F30" i="12"/>
  <c r="J31" i="12"/>
  <c r="J33" i="12"/>
  <c r="J28" i="12"/>
  <c r="J29" i="12"/>
  <c r="J27" i="12"/>
  <c r="J30" i="12"/>
  <c r="J32" i="12"/>
  <c r="J5" i="12"/>
  <c r="R10" i="12"/>
  <c r="R11" i="12"/>
  <c r="T10" i="12"/>
  <c r="U10"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R31" i="12"/>
  <c r="T30" i="12"/>
  <c r="U30" i="12"/>
  <c r="R32" i="12"/>
  <c r="T31" i="12"/>
  <c r="U31" i="12"/>
  <c r="R33" i="12"/>
  <c r="T32" i="12"/>
  <c r="U32" i="12"/>
  <c r="R34" i="12"/>
  <c r="T33" i="12"/>
  <c r="U33" i="12"/>
  <c r="R35" i="12"/>
  <c r="T34" i="12"/>
  <c r="U34" i="12"/>
  <c r="R36" i="12"/>
  <c r="T36" i="12"/>
  <c r="U36" i="12"/>
  <c r="T35" i="12"/>
  <c r="U35"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<sst xmlns="http://schemas.openxmlformats.org/spreadsheetml/2006/main" count="441" uniqueCount="286">
  <si>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</si>
  <si>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</si>
  <si>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</si>
  <si>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</si>
  <si>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</si>
  <si>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</si>
  <si>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</si>
  <si>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</si>
  <si>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</si>
  <si>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</si>
  <si>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</si>
  <si>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</si>
  <si>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</si>
  <si>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</si>
  <si>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</si>
  <si>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</si>
  <si>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</si>
  <si>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</si>
  <si>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</si>
  <si>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</si>
  <si>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</si>
  <si>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</si>
  <si>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</si>
  <si>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</si>
  <si>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</si>
  <si>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</si>
  <si>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</si>
  <si>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</si>
  <si>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</si>
  <si>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</si>
  <si>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</si>
  <si>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</si>
  <si>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</si>
  <si>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</si>
  <si>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</si>
  <si>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</si>
  <si>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</si>
  <si>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</si>
  <si>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</si>
  <si>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</si>
  <si>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</si>
  <si>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</si>
  <si>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</si>
  <si>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</si>
  <si>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</si>
  <si>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</si>
  <si>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</si>
  <si>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</si>
  <si>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US 90 UPRR Overpass and Rail Relocation</t>
  </si>
  <si>
    <t>County</t>
  </si>
  <si>
    <t>Liberty</t>
  </si>
  <si>
    <t>Data entered by the sponsors</t>
  </si>
  <si>
    <t>Facility Type</t>
  </si>
  <si>
    <t>Non-Freeway</t>
  </si>
  <si>
    <t>HGAC regional travel demand model data provided by HGAC upon request</t>
  </si>
  <si>
    <t>Street Name:</t>
  </si>
  <si>
    <t>US 90</t>
  </si>
  <si>
    <t>Populated based on selection in cell "C18"</t>
  </si>
  <si>
    <t>Limits (From)</t>
  </si>
  <si>
    <t>At UP Railroad</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</si>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</sst>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ht="30">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1.22</v>
      </c>
      <c r="D12" s="79"/>
      <c r="N12" s="133"/>
      <c r="O12" s="133"/>
      <c r="P12" s="133"/>
      <c r="Q12" s="133"/>
      <c r="R12" s="133"/>
      <c r="S12" s="133"/>
    </row>
    <row r="13" spans="2:19">
      <c r="B13" s="3" t="s">
        <v>64</v>
      </c>
      <c r="C13" s="97">
        <v>253</v>
      </c>
      <c r="D13" s="53"/>
    </row>
    <row r="14" spans="2:19">
      <c r="B14" s="3" t="s">
        <v>65</v>
      </c>
      <c r="C14" s="97" t="s">
        <v>66</v>
      </c>
      <c r="D14" s="53"/>
      <c r="G14" s="90"/>
    </row>
    <row r="15" spans="2:19">
      <c r="C15" s="53"/>
      <c r="D15" s="53"/>
    </row>
    <row r="16" spans="2:19">
      <c r="B16" s="5" t="s">
        <v>67</v>
      </c>
    </row>
    <row r="17" spans="2:13">
      <c r="B17" s="3" t="s">
        <v>68</v>
      </c>
      <c r="C17" s="97">
        <v>2024</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21943</v>
      </c>
      <c r="D25" s="82"/>
      <c r="I25" s="41"/>
    </row>
    <row r="26" spans="2:13">
      <c r="I26" s="41"/>
    </row>
    <row r="27" spans="2:13">
      <c r="B27" s="73" t="s">
        <v>76</v>
      </c>
      <c r="C27" s="74">
        <v>11093</v>
      </c>
      <c r="D27" s="82"/>
      <c r="I27" s="41"/>
    </row>
    <row r="28" spans="2:13">
      <c r="B28" s="73" t="s">
        <v>77</v>
      </c>
      <c r="C28" s="74">
        <v>22190</v>
      </c>
      <c r="D28" s="82"/>
      <c r="I28" s="41"/>
    </row>
    <row r="29" spans="2:13">
      <c r="B29" s="73" t="s">
        <v>78</v>
      </c>
      <c r="C29" s="75">
        <v>12561</v>
      </c>
      <c r="D29" s="58"/>
      <c r="I29" s="41"/>
    </row>
    <row r="30" spans="2:13">
      <c r="B30" s="73" t="s">
        <v>79</v>
      </c>
      <c r="C30" s="75">
        <v>22190</v>
      </c>
      <c r="D30" s="58"/>
      <c r="I30" s="41"/>
    </row>
    <row r="31" spans="2:13">
      <c r="B31" s="73" t="s">
        <v>80</v>
      </c>
      <c r="C31" s="74">
        <v>18693</v>
      </c>
      <c r="D31" s="82"/>
      <c r="H31" s="59"/>
    </row>
    <row r="32" spans="2:13">
      <c r="B32" s="73" t="s">
        <v>81</v>
      </c>
      <c r="C32" s="74">
        <v>22190</v>
      </c>
      <c r="D32" s="82"/>
    </row>
    <row r="34" spans="2:9" ht="18.75">
      <c r="B34" s="43" t="s">
        <v>82</v>
      </c>
      <c r="C34" s="44"/>
      <c r="D34" s="44"/>
      <c r="E34" s="44"/>
      <c r="F34" s="44"/>
      <c r="I34" s="59"/>
    </row>
    <row r="36" spans="2:9">
      <c r="B36" s="9" t="s">
        <v>83</v>
      </c>
    </row>
    <row r="37" spans="2:9">
      <c r="B37" s="8" t="s">
        <v>84</v>
      </c>
      <c r="C37" s="34">
        <f>Calculations!U37</f>
        <v>42563.902350404613</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24409.588748086127</v>
      </c>
      <c r="G4" s="136" t="s">
        <v>95</v>
      </c>
      <c r="H4" s="136"/>
      <c r="I4" s="136"/>
      <c r="J4" s="136"/>
      <c r="L4" s="106"/>
      <c r="M4" s="107">
        <v>2018</v>
      </c>
      <c r="N4" s="108">
        <f>_2018_Volume_ADT</f>
        <v>21943</v>
      </c>
      <c r="O4" s="109" t="s">
        <v>96</v>
      </c>
      <c r="P4" s="110">
        <f>MIN(B12,1)</f>
        <v>0.49990986931050024</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30</v>
      </c>
      <c r="D5" s="104" t="s">
        <v>98</v>
      </c>
      <c r="E5" s="105">
        <f>$E$4*'Inputs &amp; Outputs'!$C$12</f>
        <v>29779.698272665075</v>
      </c>
      <c r="G5" s="137" t="s">
        <v>99</v>
      </c>
      <c r="H5" s="137"/>
      <c r="I5" s="137"/>
      <c r="J5" s="111">
        <f>SUMPRODUCT(Possible_Crash_Reductions,'Value of Statistical Life'!E5:E11)</f>
        <v>4120384.4355714219</v>
      </c>
      <c r="L5" s="106"/>
      <c r="M5" s="11">
        <f t="shared" ref="M5:M36" si="1">M4+1</f>
        <v>2019</v>
      </c>
      <c r="N5" s="112">
        <f>N4+(N4*O5)</f>
        <v>22336.069194689859</v>
      </c>
      <c r="O5" s="113">
        <f t="shared" ref="O5:O11" si="2">IF(ISERROR(_2025_2045_Demand_Growth),_2018_2045_Demand_Growth,_2018_2025_Demand_Growth)</f>
        <v>1.7913193031484198E-2</v>
      </c>
      <c r="P5" s="114">
        <f t="shared" ref="P5:P11" si="3">P4*(1+IFERROR(_2018_2025_V_C_Growth,_2018_2045_V_C_Growth))</f>
        <v>0.50886485129780323</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7742721.5508929193</v>
      </c>
      <c r="L6" s="106"/>
      <c r="M6" s="107">
        <f t="shared" si="1"/>
        <v>2020</v>
      </c>
      <c r="N6" s="112">
        <f t="shared" ref="N6:N36" si="6">N5+(N5*O6)</f>
        <v>22736.179513738927</v>
      </c>
      <c r="O6" s="113">
        <f t="shared" si="2"/>
        <v>1.7913193031484198E-2</v>
      </c>
      <c r="P6" s="114">
        <f t="shared" si="3"/>
        <v>0.51798024560603828</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23143.457086167011</v>
      </c>
      <c r="O7" s="113">
        <f t="shared" si="2"/>
        <v>1.7913193031484198E-2</v>
      </c>
      <c r="P7" s="114">
        <f t="shared" si="3"/>
        <v>0.52725892573207489</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23558.030300367391</v>
      </c>
      <c r="O8" s="113">
        <f t="shared" si="2"/>
        <v>1.7913193031484198E-2</v>
      </c>
      <c r="P8" s="114">
        <f t="shared" si="3"/>
        <v>0.53670381664628652</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1.7913193031484198E-2</v>
      </c>
      <c r="D9" s="39" t="s">
        <v>104</v>
      </c>
      <c r="E9" s="119">
        <f>IF('Inputs &amp; Outputs'!$C$8='CRASH RATES'!$D$3, VLOOKUP('Inputs &amp; Outputs'!$C$7,'CRASH RATES'!$C$14:$J$21,3,FALSE), VLOOKUP('Inputs &amp; Outputs'!$C$7,'CRASH RATES'!$C$28:$J$35,3,FALSE))</f>
        <v>5.3130646924395055</v>
      </c>
      <c r="F9" s="85"/>
      <c r="L9" s="106"/>
      <c r="M9" s="11">
        <f t="shared" si="1"/>
        <v>2023</v>
      </c>
      <c r="N9" s="112">
        <f t="shared" si="6"/>
        <v>23980.029844579425</v>
      </c>
      <c r="O9" s="113">
        <f t="shared" si="2"/>
        <v>1.7913193031484198E-2</v>
      </c>
      <c r="P9" s="114">
        <f t="shared" si="3"/>
        <v>0.54631789571460576</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2.0076492698734683E-2</v>
      </c>
      <c r="D10" s="39" t="s">
        <v>106</v>
      </c>
      <c r="E10" s="119">
        <f>IF('Inputs &amp; Outputs'!$C$8='CRASH RATES'!$D$3, VLOOKUP('Inputs &amp; Outputs'!$C$7,'CRASH RATES'!$C$14:$J$21,4,FALSE), VLOOKUP('Inputs &amp; Outputs'!$C$7,'CRASH RATES'!$C$28:$J$35,4,FALSE))</f>
        <v>9.8447963418732023</v>
      </c>
      <c r="F10" s="85"/>
      <c r="L10" s="106"/>
      <c r="M10" s="107">
        <f t="shared" si="1"/>
        <v>2024</v>
      </c>
      <c r="N10" s="112">
        <f t="shared" si="6"/>
        <v>24409.588748086127</v>
      </c>
      <c r="O10" s="113">
        <f t="shared" si="2"/>
        <v>1.7913193031484198E-2</v>
      </c>
      <c r="P10" s="114">
        <f t="shared" si="3"/>
        <v>0.55610419363709573</v>
      </c>
      <c r="Q10" s="115">
        <f t="shared" si="4"/>
        <v>1</v>
      </c>
      <c r="R10" s="30">
        <f>IF(M10=Year_Open_to_Traffic?,Calculations!$J$5,Calculations!R9+(Calculations!R9*Calculations!O10*Q10))</f>
        <v>4120384.4355714219</v>
      </c>
      <c r="S10" s="45">
        <f t="shared" si="0"/>
        <v>1</v>
      </c>
      <c r="T10" s="30">
        <f t="shared" si="5"/>
        <v>4120.3844355714218</v>
      </c>
      <c r="U10" s="31">
        <f>T10/(1+Real_Discount_Rate)^(Calculations!M10-'Assumed Values'!$C$5)</f>
        <v>2745.5861277776071</v>
      </c>
    </row>
    <row r="11" spans="1:21" ht="15.75">
      <c r="A11" s="39" t="s">
        <v>107</v>
      </c>
      <c r="B11" s="118">
        <f>(_2045_Peak_Period_Volume/'Inputs &amp; Outputs'!$C$27)^(1/(2045-2018))-1</f>
        <v>1.9515196160985404E-2</v>
      </c>
      <c r="D11" s="39" t="s">
        <v>108</v>
      </c>
      <c r="E11" s="119">
        <f>IF('Inputs &amp; Outputs'!$C$8='CRASH RATES'!$D$3, VLOOKUP('Inputs &amp; Outputs'!$C$7,'CRASH RATES'!$C$14:$J$21,5,FALSE), VLOOKUP('Inputs &amp; Outputs'!$C$7,'CRASH RATES'!$C$28:$J$35,5,FALSE))</f>
        <v>24.065057724578939</v>
      </c>
      <c r="F11" s="85"/>
      <c r="L11" s="106"/>
      <c r="M11" s="11">
        <f t="shared" si="1"/>
        <v>2025</v>
      </c>
      <c r="N11" s="112">
        <f t="shared" si="6"/>
        <v>24846.842423149737</v>
      </c>
      <c r="O11" s="113">
        <f t="shared" si="2"/>
        <v>1.7913193031484198E-2</v>
      </c>
      <c r="P11" s="114">
        <f t="shared" si="3"/>
        <v>0.5660657954033349</v>
      </c>
      <c r="Q11" s="115">
        <f t="shared" si="4"/>
        <v>1</v>
      </c>
      <c r="R11" s="30">
        <f>IF(M11=Year_Open_to_Traffic?,Calculations!$J$5,Calculations!R10+(Calculations!R10*Calculations!O11*Q11))</f>
        <v>4194193.6773297358</v>
      </c>
      <c r="S11" s="45">
        <f t="shared" si="0"/>
        <v>1</v>
      </c>
      <c r="T11" s="30">
        <f t="shared" si="5"/>
        <v>4194.1936773297357</v>
      </c>
      <c r="U11" s="31">
        <f>T11/(1+Real_Discount_Rate)^(Calculations!M11-'Assumed Values'!$C$5)</f>
        <v>2611.9330299710768</v>
      </c>
    </row>
    <row r="12" spans="1:21" ht="15.75">
      <c r="A12" s="39" t="s">
        <v>109</v>
      </c>
      <c r="B12" s="120">
        <f>'Inputs &amp; Outputs'!C27/_2018_Peak_Period_Capacity</f>
        <v>0.49990986931050024</v>
      </c>
      <c r="D12" s="39" t="s">
        <v>110</v>
      </c>
      <c r="E12" s="119">
        <f>IF('Inputs &amp; Outputs'!$C$8='CRASH RATES'!$D$3, VLOOKUP('Inputs &amp; Outputs'!$C$7,'CRASH RATES'!$C$14:$J$21,6,FALSE), VLOOKUP('Inputs &amp; Outputs'!$C$7,'CRASH RATES'!$C$28:$J$35,6,FALSE))</f>
        <v>52.349313881389243</v>
      </c>
      <c r="F12" s="85"/>
      <c r="L12" s="106"/>
      <c r="M12" s="107">
        <f t="shared" si="1"/>
        <v>2026</v>
      </c>
      <c r="N12" s="112">
        <f t="shared" si="6"/>
        <v>25345.679873644713</v>
      </c>
      <c r="O12" s="113">
        <f t="shared" ref="O12:O36" si="7">IFERROR(_2025_2045_Demand_Growth,_2018_2045_Demand_Growth)</f>
        <v>2.0076492698734683E-2</v>
      </c>
      <c r="P12" s="114">
        <f t="shared" ref="P12:P36" si="8">P11*(1+IFERROR(_2025_2040_V_C_Growth,_2018_2045_V_C_Growth))</f>
        <v>0.57743041121175342</v>
      </c>
      <c r="Q12" s="115">
        <f t="shared" si="4"/>
        <v>1</v>
      </c>
      <c r="R12" s="30">
        <f>IF(M12=Year_Open_to_Traffic?,Calculations!$J$5,Calculations!R11+(Calculations!R11*Calculations!O12*Q12))</f>
        <v>4278398.3760697255</v>
      </c>
      <c r="S12" s="45">
        <f t="shared" si="0"/>
        <v>1</v>
      </c>
      <c r="T12" s="30">
        <f t="shared" si="5"/>
        <v>4278.3983760697256</v>
      </c>
      <c r="U12" s="31">
        <f>T12/(1+Real_Discount_Rate)^(Calculations!M12-'Assumed Values'!$C$5)</f>
        <v>2490.0668078288554</v>
      </c>
    </row>
    <row r="13" spans="1:21" ht="15.75">
      <c r="A13" s="39" t="s">
        <v>111</v>
      </c>
      <c r="B13" s="120">
        <f>_2025_Peak_Period_Volume/_2025_Peak_Period_Capacity</f>
        <v>0.56606579540333479</v>
      </c>
      <c r="D13" s="39" t="s">
        <v>112</v>
      </c>
      <c r="E13" s="119">
        <f>IF('Inputs &amp; Outputs'!$C$8='CRASH RATES'!$D$3, VLOOKUP('Inputs &amp; Outputs'!$C$7,'CRASH RATES'!$C$14:$J$21,7,FALSE), VLOOKUP('Inputs &amp; Outputs'!$C$7,'CRASH RATES'!$C$28:$J$35,7,FALSE))</f>
        <v>389.41638863409548</v>
      </c>
      <c r="F13" s="85"/>
      <c r="L13" s="106"/>
      <c r="M13" s="11">
        <f t="shared" si="1"/>
        <v>2027</v>
      </c>
      <c r="N13" s="112">
        <f t="shared" si="6"/>
        <v>25854.532230572408</v>
      </c>
      <c r="O13" s="113">
        <f t="shared" si="7"/>
        <v>2.0076492698734683E-2</v>
      </c>
      <c r="P13" s="114">
        <f t="shared" si="8"/>
        <v>0.58902318864647352</v>
      </c>
      <c r="Q13" s="115">
        <f t="shared" si="4"/>
        <v>1</v>
      </c>
      <c r="R13" s="30">
        <f>IF(M13=Year_Open_to_Traffic?,Calculations!$J$5,Calculations!R12+(Calculations!R12*Calculations!O13*Q13))</f>
        <v>4364293.6098291678</v>
      </c>
      <c r="S13" s="45">
        <f t="shared" si="0"/>
        <v>1</v>
      </c>
      <c r="T13" s="30">
        <f t="shared" si="5"/>
        <v>4364.2936098291675</v>
      </c>
      <c r="U13" s="31">
        <f>T13/(1+Real_Discount_Rate)^(Calculations!M13-'Assumed Values'!$C$5)</f>
        <v>2373.8865569304603</v>
      </c>
    </row>
    <row r="14" spans="1:21" ht="15.75">
      <c r="A14" s="39" t="s">
        <v>113</v>
      </c>
      <c r="B14" s="120">
        <f>_2045_Peak_Period_Volume/_2045_Peak_Period_Capacity</f>
        <v>0.84240648940964402</v>
      </c>
      <c r="D14" s="39" t="s">
        <v>114</v>
      </c>
      <c r="E14" s="119">
        <f>IF('Inputs &amp; Outputs'!$C$8='CRASH RATES'!$D$3, VLOOKUP('Inputs &amp; Outputs'!$C$7,'CRASH RATES'!$C$14:$J$21,8,FALSE), VLOOKUP('Inputs &amp; Outputs'!$C$7,'CRASH RATES'!$C$28:$J$35,8,FALSE))</f>
        <v>13.126395122497602</v>
      </c>
      <c r="F14" s="85"/>
      <c r="L14" s="106"/>
      <c r="M14" s="107">
        <f>M13+1</f>
        <v>2028</v>
      </c>
      <c r="N14" s="112">
        <f t="shared" si="6"/>
        <v>26373.600558128695</v>
      </c>
      <c r="O14" s="113">
        <f t="shared" si="7"/>
        <v>2.0076492698734683E-2</v>
      </c>
      <c r="P14" s="114">
        <f>P13*(1+IFERROR(_2025_2040_V_C_Growth,_2018_2045_V_C_Growth))</f>
        <v>0.60084870839271987</v>
      </c>
      <c r="Q14" s="115">
        <f t="shared" si="4"/>
        <v>1</v>
      </c>
      <c r="R14" s="30">
        <f>IF(M14=Year_Open_to_Traffic?,Calculations!$J$5,Calculations!R13+(Calculations!R13*Calculations!O14*Q14))</f>
        <v>4451913.3186220378</v>
      </c>
      <c r="S14" s="45">
        <f t="shared" si="0"/>
        <v>1</v>
      </c>
      <c r="T14" s="30">
        <f t="shared" si="5"/>
        <v>4451.9133186220379</v>
      </c>
      <c r="U14" s="31">
        <f>T14/(1+Real_Discount_Rate)^(Calculations!M14-'Assumed Values'!$C$5)</f>
        <v>2263.1269841666353</v>
      </c>
    </row>
    <row r="15" spans="1:21" ht="15.75">
      <c r="A15" s="39" t="s">
        <v>115</v>
      </c>
      <c r="B15" s="118">
        <f>(B13/B12)^(1/(2025-2018))-1</f>
        <v>1.7913193031484198E-2</v>
      </c>
      <c r="L15" s="106"/>
      <c r="M15" s="11">
        <f>M14+1</f>
        <v>2029</v>
      </c>
      <c r="N15" s="112">
        <f t="shared" si="6"/>
        <v>26903.08995717331</v>
      </c>
      <c r="O15" s="113">
        <f t="shared" si="7"/>
        <v>2.0076492698734683E-2</v>
      </c>
      <c r="P15" s="114">
        <f>P14*(1+IFERROR(_2025_2040_V_C_Growth,_2018_2045_V_C_Growth))</f>
        <v>0.6129116430998105</v>
      </c>
      <c r="Q15" s="115">
        <f t="shared" si="4"/>
        <v>1</v>
      </c>
      <c r="R15" s="30">
        <f>IF(M15=Year_Open_to_Traffic?,Calculations!$J$5,Calculations!R14+(Calculations!R14*Calculations!O15*Q15))</f>
        <v>4541292.1238587527</v>
      </c>
      <c r="S15" s="45">
        <f t="shared" si="0"/>
        <v>1</v>
      </c>
      <c r="T15" s="30">
        <f t="shared" si="5"/>
        <v>4541.2921238587523</v>
      </c>
      <c r="U15" s="31">
        <f>T15/(1+Real_Discount_Rate)^(Calculations!M15-'Assumed Values'!$C$5)</f>
        <v>2157.5351743369774</v>
      </c>
    </row>
    <row r="16" spans="1:21" ht="15.75">
      <c r="A16" s="39" t="s">
        <v>116</v>
      </c>
      <c r="B16" s="118">
        <f>(B14/B13)^(1/(2045-2025))-1</f>
        <v>2.0076492698734683E-2</v>
      </c>
      <c r="D16" s="121" t="s">
        <v>117</v>
      </c>
      <c r="E16" s="57"/>
      <c r="L16" s="106"/>
      <c r="M16" s="107">
        <f t="shared" si="1"/>
        <v>2030</v>
      </c>
      <c r="N16" s="112">
        <f t="shared" si="6"/>
        <v>27443.209646271902</v>
      </c>
      <c r="O16" s="113">
        <f t="shared" si="7"/>
        <v>2.0076492698734683E-2</v>
      </c>
      <c r="P16" s="114">
        <f t="shared" si="8"/>
        <v>0.62521675922747333</v>
      </c>
      <c r="Q16" s="115">
        <f t="shared" si="4"/>
        <v>1</v>
      </c>
      <c r="R16" s="30">
        <f>IF(M16=Year_Open_to_Traffic?,Calculations!$J$5,Calculations!R15+(Calculations!R15*Calculations!O16*Q16))</f>
        <v>4632465.3420262244</v>
      </c>
      <c r="S16" s="45">
        <f t="shared" si="0"/>
        <v>1</v>
      </c>
      <c r="T16" s="30">
        <f t="shared" si="5"/>
        <v>4632.4653420262248</v>
      </c>
      <c r="U16" s="31">
        <f>T16/(1+Real_Discount_Rate)^(Calculations!M16-'Assumed Values'!$C$5)</f>
        <v>2056.8700126278668</v>
      </c>
    </row>
    <row r="17" spans="1:21" ht="15.75">
      <c r="A17" s="39" t="s">
        <v>118</v>
      </c>
      <c r="B17" s="118">
        <f>(B14/B12)^(1/(2045-2018))-1</f>
        <v>1.9515196160985404E-2</v>
      </c>
      <c r="D17" s="39" t="s">
        <v>119</v>
      </c>
      <c r="E17" s="122">
        <f>($E$6*Death_Rate)/100000000</f>
        <v>0.41137580495439618</v>
      </c>
      <c r="L17" s="106"/>
      <c r="M17" s="11">
        <f t="shared" si="1"/>
        <v>2031</v>
      </c>
      <c r="N17" s="112">
        <f t="shared" si="6"/>
        <v>27994.173044365125</v>
      </c>
      <c r="O17" s="113">
        <f t="shared" si="7"/>
        <v>2.0076492698734683E-2</v>
      </c>
      <c r="P17" s="114">
        <f t="shared" si="8"/>
        <v>0.63776891892923027</v>
      </c>
      <c r="Q17" s="115">
        <f t="shared" si="4"/>
        <v>1</v>
      </c>
      <c r="R17" s="30">
        <f>IF(M17=Year_Open_to_Traffic?,Calculations!$J$5,Calculations!R16+(Calculations!R16*Calculations!O17*Q17))</f>
        <v>4725468.9986425554</v>
      </c>
      <c r="S17" s="45">
        <f t="shared" si="0"/>
        <v>1</v>
      </c>
      <c r="T17" s="30">
        <f t="shared" si="5"/>
        <v>4725.4689986425556</v>
      </c>
      <c r="U17" s="31">
        <f>T17/(1+Real_Discount_Rate)^(Calculations!M17-'Assumed Values'!$C$5)</f>
        <v>1960.9016340361088</v>
      </c>
    </row>
    <row r="18" spans="1:21" ht="15.75">
      <c r="D18" s="39" t="s">
        <v>120</v>
      </c>
      <c r="E18" s="122">
        <f>($E$6*Incap_Injry_Rate)/100000000</f>
        <v>0.76225516800373416</v>
      </c>
      <c r="L18" s="106"/>
      <c r="M18" s="107">
        <f t="shared" si="1"/>
        <v>2032</v>
      </c>
      <c r="N18" s="112">
        <f t="shared" si="6"/>
        <v>28556.197855097438</v>
      </c>
      <c r="O18" s="113">
        <f t="shared" si="7"/>
        <v>2.0076492698734683E-2</v>
      </c>
      <c r="P18" s="114">
        <f t="shared" si="8"/>
        <v>0.65057308197359287</v>
      </c>
      <c r="Q18" s="115">
        <f t="shared" si="4"/>
        <v>1</v>
      </c>
      <c r="R18" s="30">
        <f>IF(M18=Year_Open_to_Traffic?,Calculations!$J$5,Calculations!R17+(Calculations!R17*Calculations!O18*Q18))</f>
        <v>4820339.8424918996</v>
      </c>
      <c r="S18" s="45">
        <f t="shared" si="0"/>
        <v>1</v>
      </c>
      <c r="T18" s="30">
        <f t="shared" si="5"/>
        <v>4820.3398424918996</v>
      </c>
      <c r="U18" s="31">
        <f>T18/(1+Real_Discount_Rate)^(Calculations!M18-'Assumed Values'!$C$5)</f>
        <v>1869.410898481095</v>
      </c>
    </row>
    <row r="19" spans="1:21" ht="15.75">
      <c r="D19" s="39" t="s">
        <v>121</v>
      </c>
      <c r="E19" s="122">
        <f>($E$6*Nonincap_Injry_Rate)/100000000</f>
        <v>1.8632904106757948</v>
      </c>
      <c r="L19" s="106"/>
      <c r="M19" s="11">
        <f t="shared" si="1"/>
        <v>2033</v>
      </c>
      <c r="N19" s="112">
        <f t="shared" si="6"/>
        <v>29129.506152838923</v>
      </c>
      <c r="O19" s="113">
        <f t="shared" si="7"/>
        <v>2.0076492698734683E-2</v>
      </c>
      <c r="P19" s="114">
        <f t="shared" si="8"/>
        <v>0.66363430770382903</v>
      </c>
      <c r="Q19" s="115">
        <f t="shared" si="4"/>
        <v>1</v>
      </c>
      <c r="R19" s="30">
        <f>IF(M19=Year_Open_to_Traffic?,Calculations!$J$5,Calculations!R18+(Calculations!R18*Calculations!O19*Q19))</f>
        <v>4917115.3601451078</v>
      </c>
      <c r="S19" s="45">
        <f t="shared" si="0"/>
        <v>1</v>
      </c>
      <c r="T19" s="30">
        <f t="shared" si="5"/>
        <v>4917.1153601451078</v>
      </c>
      <c r="U19" s="31">
        <f>T19/(1+Real_Discount_Rate)^(Calculations!M19-'Assumed Values'!$C$5)</f>
        <v>1782.1888904069021</v>
      </c>
    </row>
    <row r="20" spans="1:21" ht="15.75">
      <c r="D20" s="39" t="s">
        <v>122</v>
      </c>
      <c r="E20" s="122">
        <f>($E$6*Poss_Injry_Rate/100000000)</f>
        <v>4.0532616076389036</v>
      </c>
      <c r="L20" s="106"/>
      <c r="M20" s="107">
        <f t="shared" si="1"/>
        <v>2034</v>
      </c>
      <c r="N20" s="112">
        <f t="shared" si="6"/>
        <v>29714.324470434141</v>
      </c>
      <c r="O20" s="113">
        <f t="shared" si="7"/>
        <v>2.0076492698734683E-2</v>
      </c>
      <c r="P20" s="114">
        <f t="shared" si="8"/>
        <v>0.67695775703707484</v>
      </c>
      <c r="Q20" s="115">
        <f t="shared" si="4"/>
        <v>1</v>
      </c>
      <c r="R20" s="30">
        <f>IF(M20=Year_Open_to_Traffic?,Calculations!$J$5,Calculations!R19+(Calculations!R19*Calculations!O20*Q20))</f>
        <v>5015833.790771897</v>
      </c>
      <c r="S20" s="45">
        <f t="shared" si="0"/>
        <v>1</v>
      </c>
      <c r="T20" s="30">
        <f t="shared" si="5"/>
        <v>5015.8337907718969</v>
      </c>
      <c r="U20" s="31">
        <f>T20/(1+Real_Discount_Rate)^(Calculations!M20-'Assumed Values'!$C$5)</f>
        <v>1699.0364417317032</v>
      </c>
    </row>
    <row r="21" spans="1:21" ht="15.75">
      <c r="D21" s="39" t="s">
        <v>123</v>
      </c>
      <c r="E21" s="122">
        <f>($E$6*Non_Injry_Rate)/100000000</f>
        <v>30.151426645481038</v>
      </c>
      <c r="L21" s="106"/>
      <c r="M21" s="11">
        <f>M20+1</f>
        <v>2035</v>
      </c>
      <c r="N21" s="112">
        <f t="shared" si="6"/>
        <v>30310.883888712648</v>
      </c>
      <c r="O21" s="113">
        <f t="shared" si="7"/>
        <v>2.0076492698734683E-2</v>
      </c>
      <c r="P21" s="114">
        <f>P20*(1+IFERROR(_2025_2040_V_C_Growth,_2018_2045_V_C_Growth))</f>
        <v>0.69054869450358147</v>
      </c>
      <c r="Q21" s="115">
        <f t="shared" si="4"/>
        <v>1</v>
      </c>
      <c r="R21" s="30">
        <f>IF(M21=Year_Open_to_Traffic?,Calculations!$J$5,Calculations!R20+(Calculations!R20*Calculations!O21*Q21))</f>
        <v>5116534.1412503952</v>
      </c>
      <c r="S21" s="45">
        <f t="shared" si="0"/>
        <v>1</v>
      </c>
      <c r="T21" s="30">
        <f t="shared" si="5"/>
        <v>5116.5341412503949</v>
      </c>
      <c r="U21" s="31">
        <f>T21/(1+Real_Discount_Rate)^(Calculations!M21-'Assumed Values'!$C$5)</f>
        <v>1619.763677055153</v>
      </c>
    </row>
    <row r="22" spans="1:21" ht="15.75">
      <c r="D22" s="39" t="s">
        <v>124</v>
      </c>
      <c r="E22" s="122">
        <f>($E$6*Unkn_Injry_Rate)/100000000</f>
        <v>1.0163402240049788</v>
      </c>
      <c r="L22" s="106"/>
      <c r="M22" s="107">
        <f>M21+1</f>
        <v>2036</v>
      </c>
      <c r="N22" s="112">
        <f t="shared" si="6"/>
        <v>30919.42012779658</v>
      </c>
      <c r="O22" s="113">
        <f t="shared" si="7"/>
        <v>2.0076492698734683E-2</v>
      </c>
      <c r="P22" s="114">
        <f t="shared" si="8"/>
        <v>0.70441249032690334</v>
      </c>
      <c r="Q22" s="115">
        <f t="shared" si="4"/>
        <v>1</v>
      </c>
      <c r="R22" s="30">
        <f>IF(M22=Year_Open_to_Traffic?,Calculations!$J$5,Calculations!R21+(Calculations!R21*Calculations!O22*Q22))</f>
        <v>5219256.2015800355</v>
      </c>
      <c r="S22" s="45">
        <f t="shared" si="0"/>
        <v>1</v>
      </c>
      <c r="T22" s="30">
        <f t="shared" si="5"/>
        <v>5219.2562015800358</v>
      </c>
      <c r="U22" s="31">
        <f>T22/(1+Real_Discount_Rate)^(Calculations!M22-'Assumed Values'!$C$5)</f>
        <v>1544.1895800852585</v>
      </c>
    </row>
    <row r="23" spans="1:21" ht="15.75">
      <c r="L23" s="106"/>
      <c r="M23" s="11">
        <f t="shared" si="1"/>
        <v>2037</v>
      </c>
      <c r="N23" s="112">
        <f t="shared" si="6"/>
        <v>31540.173640241399</v>
      </c>
      <c r="O23" s="113">
        <f t="shared" si="7"/>
        <v>2.0076492698734683E-2</v>
      </c>
      <c r="P23" s="114">
        <f t="shared" si="8"/>
        <v>0.7185546225458489</v>
      </c>
      <c r="Q23" s="115">
        <f t="shared" si="4"/>
        <v>1</v>
      </c>
      <c r="R23" s="30">
        <f>IF(M23=Year_Open_to_Traffic?,Calculations!$J$5,Calculations!R22+(Calculations!R22*Calculations!O23*Q23))</f>
        <v>5324040.5606038831</v>
      </c>
      <c r="S23" s="45">
        <f t="shared" si="0"/>
        <v>1</v>
      </c>
      <c r="T23" s="30">
        <f t="shared" si="5"/>
        <v>5324.040560603883</v>
      </c>
      <c r="U23" s="31">
        <f>T23/(1+Real_Discount_Rate)^(Calculations!M23-'Assumed Values'!$C$5)</f>
        <v>1472.1415802946751</v>
      </c>
    </row>
    <row r="24" spans="1:21" ht="15.75">
      <c r="L24" s="106"/>
      <c r="M24" s="107">
        <f t="shared" si="1"/>
        <v>2038</v>
      </c>
      <c r="N24" s="112">
        <f t="shared" si="6"/>
        <v>32173.389706046528</v>
      </c>
      <c r="O24" s="113">
        <f t="shared" si="7"/>
        <v>2.0076492698734683E-2</v>
      </c>
      <c r="P24" s="114">
        <f t="shared" si="8"/>
        <v>0.73298067917903265</v>
      </c>
      <c r="Q24" s="115">
        <f t="shared" si="4"/>
        <v>1</v>
      </c>
      <c r="R24" s="30">
        <f>IF(M24=Year_Open_to_Traffic?,Calculations!$J$5,Calculations!R23+(Calculations!R23*Calculations!O24*Q24))</f>
        <v>5430928.6220466141</v>
      </c>
      <c r="S24" s="45">
        <f t="shared" si="0"/>
        <v>1</v>
      </c>
      <c r="T24" s="30">
        <f t="shared" si="5"/>
        <v>5430.9286220466138</v>
      </c>
      <c r="U24" s="31">
        <f>T24/(1+Real_Discount_Rate)^(Calculations!M24-'Assumed Values'!$C$5)</f>
        <v>1403.4551588625839</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32819.318529573517</v>
      </c>
      <c r="O25" s="113">
        <f t="shared" si="7"/>
        <v>2.0076492698734683E-2</v>
      </c>
      <c r="P25" s="114">
        <f t="shared" si="8"/>
        <v>0.74769636043288412</v>
      </c>
      <c r="Q25" s="115">
        <f t="shared" si="4"/>
        <v>1</v>
      </c>
      <c r="R25" s="30">
        <f>IF(M25=Year_Open_to_Traffic?,Calculations!$J$5,Calculations!R24+(Calculations!R24*Calculations!O25*Q25))</f>
        <v>5539962.6208744822</v>
      </c>
      <c r="S25" s="45">
        <f t="shared" si="0"/>
        <v>1</v>
      </c>
      <c r="T25" s="30">
        <f t="shared" si="5"/>
        <v>5539.9626208744821</v>
      </c>
      <c r="U25" s="31">
        <f>T25/(1+Real_Discount_Rate)^(Calculations!M25-'Assumed Values'!$C$5)</f>
        <v>1337.9734730023272</v>
      </c>
    </row>
    <row r="26" spans="1:21" ht="15.75">
      <c r="A26" s="134"/>
      <c r="B26" s="134"/>
      <c r="D26" s="123">
        <f>Calculations!E17</f>
        <v>0.41137580495439618</v>
      </c>
      <c r="E26" s="123">
        <f>Calculations!E18</f>
        <v>0.76225516800373416</v>
      </c>
      <c r="F26" s="123">
        <f>Calculations!E19</f>
        <v>1.8632904106757948</v>
      </c>
      <c r="G26" s="123">
        <f>Calculations!E20</f>
        <v>4.0532616076389036</v>
      </c>
      <c r="H26" s="123">
        <f>Calculations!E21</f>
        <v>30.151426645481038</v>
      </c>
      <c r="I26" s="123">
        <f>Calculations!E22</f>
        <v>1.0163402240049788</v>
      </c>
      <c r="J26" s="135"/>
      <c r="L26" s="106"/>
      <c r="M26" s="107">
        <f t="shared" si="1"/>
        <v>2040</v>
      </c>
      <c r="N26" s="112">
        <f t="shared" si="6"/>
        <v>33478.215338409944</v>
      </c>
      <c r="O26" s="113">
        <f t="shared" si="7"/>
        <v>2.0076492698734683E-2</v>
      </c>
      <c r="P26" s="114">
        <f t="shared" si="8"/>
        <v>0.76270748095398544</v>
      </c>
      <c r="Q26" s="115">
        <f t="shared" si="4"/>
        <v>1</v>
      </c>
      <c r="R26" s="30">
        <f>IF(M26=Year_Open_to_Traffic?,Calculations!$J$5,Calculations!R25+(Calculations!R25*Calculations!O26*Q26))</f>
        <v>5651185.6399837323</v>
      </c>
      <c r="S26" s="45">
        <f t="shared" si="0"/>
        <v>1</v>
      </c>
      <c r="T26" s="30">
        <f t="shared" si="5"/>
        <v>5651.1856399837325</v>
      </c>
      <c r="U26" s="31">
        <f>T26/(1+Real_Discount_Rate)^(Calculations!M26-'Assumed Values'!$C$5)</f>
        <v>1275.5469978169713</v>
      </c>
    </row>
    <row r="27" spans="1:21" ht="15.75">
      <c r="A27" s="38" t="s">
        <v>127</v>
      </c>
      <c r="B27" s="39" t="s">
        <v>128</v>
      </c>
      <c r="D27" s="124">
        <f>D$26*'Value of Statistical Life'!D17*Appropriate_Crash_Reduction_Factor</f>
        <v>0</v>
      </c>
      <c r="E27" s="124">
        <f>E$26*'Value of Statistical Life'!E17*Appropriate_Crash_Reduction_Factor</f>
        <v>2.0958968099430673E-2</v>
      </c>
      <c r="F27" s="124">
        <f>F$26*'Value of Statistical Life'!F17*Appropriate_Crash_Reduction_Factor</f>
        <v>0.12442308046328687</v>
      </c>
      <c r="G27" s="124">
        <f>G$26*'Value of Statistical Life'!G17*Appropriate_Crash_Reduction_Factor</f>
        <v>0.75997033838586392</v>
      </c>
      <c r="H27" s="124">
        <f>H$26*'Value of Statistical Life'!H17*Appropriate_Crash_Reduction_Factor</f>
        <v>22.320256905703541</v>
      </c>
      <c r="I27" s="124">
        <f>I$26*'Value of Statistical Life'!I17*Appropriate_Crash_Reduction_Factor</f>
        <v>0.35511740498913164</v>
      </c>
      <c r="J27" s="124">
        <f t="shared" ref="J27:J33" si="9">SUM(D27:I27)</f>
        <v>23.580726697641254</v>
      </c>
      <c r="K27" s="69"/>
      <c r="L27" s="106"/>
      <c r="M27" s="11">
        <f t="shared" si="1"/>
        <v>2041</v>
      </c>
      <c r="N27" s="112">
        <f t="shared" si="6"/>
        <v>34150.340484218199</v>
      </c>
      <c r="O27" s="113">
        <f t="shared" si="7"/>
        <v>2.0076492698734683E-2</v>
      </c>
      <c r="P27" s="114">
        <f t="shared" si="8"/>
        <v>0.77801997212662843</v>
      </c>
      <c r="Q27" s="115">
        <f t="shared" si="4"/>
        <v>1</v>
      </c>
      <c r="R27" s="30">
        <f>IF(M27=Year_Open_to_Traffic?,Calculations!$J$5,Calculations!R26+(Calculations!R26*Calculations!O27*Q27))</f>
        <v>5764641.6272240598</v>
      </c>
      <c r="S27" s="45">
        <f t="shared" si="0"/>
        <v>1</v>
      </c>
      <c r="T27" s="30">
        <f t="shared" si="5"/>
        <v>5764.6416272240594</v>
      </c>
      <c r="U27" s="31">
        <f>T27/(1+Real_Discount_Rate)^(Calculations!M27-'Assumed Values'!$C$5)</f>
        <v>1216.0331848649873</v>
      </c>
    </row>
    <row r="28" spans="1:21" ht="15.75">
      <c r="A28" s="38" t="s">
        <v>129</v>
      </c>
      <c r="B28" s="39" t="s">
        <v>130</v>
      </c>
      <c r="D28" s="124">
        <f>D$26*'Value of Statistical Life'!D18*Appropriate_Crash_Reduction_Factor</f>
        <v>0</v>
      </c>
      <c r="E28" s="124">
        <f>E$26*'Value of Statistical Life'!E18*Appropriate_Crash_Reduction_Factor</f>
        <v>0.3381302944851125</v>
      </c>
      <c r="F28" s="124">
        <f>F$26*'Value of Statistical Life'!F18*Appropriate_Crash_Reduction_Factor</f>
        <v>1.1454466002204808</v>
      </c>
      <c r="G28" s="124">
        <f>G$26*'Value of Statistical Life'!G18*Appropriate_Crash_Reduction_Factor</f>
        <v>2.2356493984021748</v>
      </c>
      <c r="H28" s="124">
        <f>H$26*'Value of Statistical Life'!H18*Appropriate_Crash_Reduction_Factor</f>
        <v>1.7504712253300472</v>
      </c>
      <c r="I28" s="124">
        <f>I$26*'Value of Statistical Life'!I18*Appropriate_Crash_Reduction_Factor</f>
        <v>0.3393681968779505</v>
      </c>
      <c r="J28" s="124">
        <f t="shared" si="9"/>
        <v>5.8090657153157661</v>
      </c>
      <c r="K28" s="69"/>
      <c r="L28" s="106"/>
      <c r="M28" s="107">
        <f t="shared" si="1"/>
        <v>2042</v>
      </c>
      <c r="N28" s="112">
        <f t="shared" si="6"/>
        <v>34835.959545608908</v>
      </c>
      <c r="O28" s="113">
        <f t="shared" si="7"/>
        <v>2.0076492698734683E-2</v>
      </c>
      <c r="P28" s="114">
        <f t="shared" si="8"/>
        <v>0.79363988441649846</v>
      </c>
      <c r="Q28" s="115">
        <f t="shared" si="4"/>
        <v>1</v>
      </c>
      <c r="R28" s="30">
        <f>IF(M28=Year_Open_to_Traffic?,Calculations!$J$5,Calculations!R27+(Calculations!R27*Calculations!O28*Q28))</f>
        <v>5880375.4127638452</v>
      </c>
      <c r="S28" s="45">
        <f t="shared" si="0"/>
        <v>1</v>
      </c>
      <c r="T28" s="30">
        <f t="shared" si="5"/>
        <v>5880.3754127638449</v>
      </c>
      <c r="U28" s="31">
        <f>T28/(1+Real_Discount_Rate)^(Calculations!M28-'Assumed Values'!$C$5)</f>
        <v>1159.2961366564002</v>
      </c>
    </row>
    <row r="29" spans="1:21" ht="15.75">
      <c r="A29" s="38" t="s">
        <v>131</v>
      </c>
      <c r="B29" s="39" t="s">
        <v>132</v>
      </c>
      <c r="D29" s="124">
        <f>D$26*'Value of Statistical Life'!D19*Appropriate_Crash_Reduction_Factor</f>
        <v>0</v>
      </c>
      <c r="E29" s="124">
        <f>E$26*'Value of Statistical Life'!E19*Appropriate_Crash_Reduction_Factor</f>
        <v>0.12749784842097658</v>
      </c>
      <c r="F29" s="124">
        <f>F$26*'Value of Statistical Life'!F19*Appropriate_Crash_Reduction_Factor</f>
        <v>0.16244911116435851</v>
      </c>
      <c r="G29" s="124">
        <f>G$26*'Value of Statistical Life'!G19*Appropriate_Crash_Reduction_Factor</f>
        <v>0.20723515947536186</v>
      </c>
      <c r="H29" s="124">
        <f>H$26*'Value of Statistical Life'!H19*Appropriate_Crash_Reduction_Factor</f>
        <v>4.7759859806441964E-2</v>
      </c>
      <c r="I29" s="124">
        <f>I$26*'Value of Statistical Life'!I19*Appropriate_Crash_Reduction_Factor</f>
        <v>7.2135763738977371E-2</v>
      </c>
      <c r="J29" s="124">
        <f t="shared" si="9"/>
        <v>0.61707774260611625</v>
      </c>
      <c r="K29" s="69"/>
      <c r="L29" s="106"/>
      <c r="M29" s="11">
        <f t="shared" si="1"/>
        <v>2043</v>
      </c>
      <c r="N29" s="112">
        <f t="shared" si="6"/>
        <v>35535.343433079739</v>
      </c>
      <c r="O29" s="113">
        <f t="shared" si="7"/>
        <v>2.0076492698734683E-2</v>
      </c>
      <c r="P29" s="114">
        <f t="shared" si="8"/>
        <v>0.80957338976141091</v>
      </c>
      <c r="Q29" s="115">
        <f t="shared" si="4"/>
        <v>1</v>
      </c>
      <c r="R29" s="30">
        <f>IF(M29=Year_Open_to_Traffic?,Calculations!$J$5,Calculations!R28+(Calculations!R28*Calculations!O29*Q29))</f>
        <v>5998432.7268040171</v>
      </c>
      <c r="S29" s="45">
        <f t="shared" si="0"/>
        <v>1</v>
      </c>
      <c r="T29" s="30">
        <f t="shared" si="5"/>
        <v>5998.432726804017</v>
      </c>
      <c r="U29" s="31">
        <f>T29/(1+Real_Discount_Rate)^(Calculations!M29-'Assumed Values'!$C$5)</f>
        <v>1105.206296336125</v>
      </c>
    </row>
    <row r="30" spans="1:21" ht="15.75">
      <c r="A30" s="38" t="s">
        <v>133</v>
      </c>
      <c r="B30" s="39" t="s">
        <v>134</v>
      </c>
      <c r="D30" s="124">
        <f>D$26*'Value of Statistical Life'!D20*Appropriate_Crash_Reduction_Factor</f>
        <v>0</v>
      </c>
      <c r="E30" s="124">
        <f>E$26*'Value of Statistical Life'!E20*Appropriate_Crash_Reduction_Factor</f>
        <v>8.8037422883759278E-2</v>
      </c>
      <c r="F30" s="124">
        <f>F$26*'Value of Statistical Life'!F20*Appropriate_Crash_Reduction_Factor</f>
        <v>4.7566077603731695E-2</v>
      </c>
      <c r="G30" s="124">
        <f>G$26*'Value of Statistical Life'!G20*Appropriate_Crash_Reduction_Factor</f>
        <v>3.4728345454250131E-2</v>
      </c>
      <c r="H30" s="124">
        <f>H$26*'Value of Statistical Life'!H20*Appropriate_Crash_Reduction_Factor</f>
        <v>1.9296913053107869E-3</v>
      </c>
      <c r="I30" s="124">
        <f>I$26*'Value of Statistical Life'!I20*Appropriate_Crash_Reduction_Factor</f>
        <v>3.9165686872255863E-2</v>
      </c>
      <c r="J30" s="124">
        <f t="shared" si="9"/>
        <v>0.21142722411930776</v>
      </c>
      <c r="K30" s="69"/>
      <c r="L30" s="106"/>
      <c r="M30" s="11">
        <f t="shared" si="1"/>
        <v>2044</v>
      </c>
      <c r="N30" s="112">
        <f t="shared" si="6"/>
        <v>36248.768496060991</v>
      </c>
      <c r="O30" s="113">
        <f t="shared" si="7"/>
        <v>2.0076492698734683E-2</v>
      </c>
      <c r="P30" s="114">
        <f t="shared" si="8"/>
        <v>0.82582678401004572</v>
      </c>
      <c r="Q30" s="115">
        <f t="shared" si="4"/>
        <v>1</v>
      </c>
      <c r="R30" s="30">
        <f>IF(M30=Year_Open_to_Traffic?,Calculations!$J$5,Calculations!R29+(Calculations!R29*Calculations!O30*Q30))</f>
        <v>6118860.2176475488</v>
      </c>
      <c r="S30" s="45">
        <f t="shared" si="0"/>
        <v>1</v>
      </c>
      <c r="T30" s="30">
        <f t="shared" si="5"/>
        <v>6118.8602176475488</v>
      </c>
      <c r="U30" s="31">
        <f>T30/(1+Real_Discount_Rate)^(Calculations!M30-'Assumed Values'!$C$5)</f>
        <v>1053.6401518458997</v>
      </c>
    </row>
    <row r="31" spans="1:21" ht="15.75">
      <c r="A31" s="38" t="s">
        <v>135</v>
      </c>
      <c r="B31" s="39" t="s">
        <v>136</v>
      </c>
      <c r="D31" s="124">
        <f>D$26*'Value of Statistical Life'!D21*Appropriate_Crash_Reduction_Factor</f>
        <v>0</v>
      </c>
      <c r="E31" s="124">
        <f>E$26*'Value of Statistical Life'!E21*Appropriate_Crash_Reduction_Factor</f>
        <v>2.4306792797303078E-2</v>
      </c>
      <c r="F31" s="124">
        <f>F$26*'Value of Statistical Life'!F21*Appropriate_Crash_Reduction_Factor</f>
        <v>9.2419204369519423E-3</v>
      </c>
      <c r="G31" s="124">
        <f>G$26*'Value of Statistical Life'!G21*Appropriate_Crash_Reduction_Factor</f>
        <v>4.6045051862777953E-3</v>
      </c>
      <c r="H31" s="124">
        <f>H$26*'Value of Statistical Life'!H21*Appropriate_Crash_Reduction_Factor</f>
        <v>0</v>
      </c>
      <c r="I31" s="124">
        <f>I$26*'Value of Statistical Life'!I21*Appropriate_Crash_Reduction_Factor</f>
        <v>5.0166553456885759E-3</v>
      </c>
      <c r="J31" s="124">
        <f t="shared" si="9"/>
        <v>4.3169873766221389E-2</v>
      </c>
      <c r="K31" s="69"/>
      <c r="L31" s="106"/>
      <c r="M31" s="11">
        <f t="shared" si="1"/>
        <v>2045</v>
      </c>
      <c r="N31" s="112">
        <f t="shared" si="6"/>
        <v>36976.516632110281</v>
      </c>
      <c r="O31" s="113">
        <f t="shared" si="7"/>
        <v>2.0076492698734683E-2</v>
      </c>
      <c r="P31" s="114">
        <f t="shared" si="8"/>
        <v>0.84240648940964291</v>
      </c>
      <c r="Q31" s="115">
        <f t="shared" si="4"/>
        <v>1</v>
      </c>
      <c r="R31" s="30">
        <f>IF(M31=Year_Open_to_Traffic?,Calculations!$J$5,Calculations!R30+(Calculations!R30*Calculations!O31*Q31))</f>
        <v>6241705.4701317279</v>
      </c>
      <c r="S31" s="45">
        <f t="shared" si="0"/>
        <v>1</v>
      </c>
      <c r="T31" s="30">
        <f t="shared" si="5"/>
        <v>6241.7054701317275</v>
      </c>
      <c r="U31" s="31">
        <f>T31/(1+Real_Discount_Rate)^(Calculations!M31-'Assumed Values'!$C$5)</f>
        <v>1004.479953889278</v>
      </c>
    </row>
    <row r="32" spans="1:21" ht="15.75">
      <c r="A32" s="38" t="s">
        <v>137</v>
      </c>
      <c r="B32" s="39" t="s">
        <v>138</v>
      </c>
      <c r="D32" s="124">
        <f>D$26*'Value of Statistical Life'!D22*Appropriate_Crash_Reduction_Factor</f>
        <v>0</v>
      </c>
      <c r="E32" s="124">
        <f>E$26*'Value of Statistical Life'!E22*Appropriate_Crash_Reduction_Factor</f>
        <v>1.0872807716405265E-2</v>
      </c>
      <c r="F32" s="124">
        <f>F$26*'Value of Statistical Life'!F22*Appropriate_Crash_Reduction_Factor</f>
        <v>1.5055386518260424E-3</v>
      </c>
      <c r="G32" s="124">
        <f>G$26*'Value of Statistical Life'!G22*Appropriate_Crash_Reduction_Factor</f>
        <v>4.2153920719444592E-4</v>
      </c>
      <c r="H32" s="124">
        <f>H$26*'Value of Statistical Life'!H22*Appropriate_Crash_Reduction_Factor</f>
        <v>7.2363423949154499E-4</v>
      </c>
      <c r="I32" s="124">
        <f>I$26*'Value of Statistical Life'!I22*Appropriate_Crash_Reduction_Factor</f>
        <v>2.268471379979113E-3</v>
      </c>
      <c r="J32" s="124">
        <f t="shared" si="9"/>
        <v>1.579199119489641E-2</v>
      </c>
      <c r="K32" s="69"/>
      <c r="L32" s="106"/>
      <c r="M32" s="11">
        <f t="shared" si="1"/>
        <v>2046</v>
      </c>
      <c r="N32" s="112">
        <f t="shared" si="6"/>
        <v>37718.875398299482</v>
      </c>
      <c r="O32" s="113">
        <f t="shared" si="7"/>
        <v>2.0076492698734683E-2</v>
      </c>
      <c r="P32" s="114">
        <f t="shared" si="8"/>
        <v>0.85931905714364232</v>
      </c>
      <c r="Q32" s="115">
        <f t="shared" si="4"/>
        <v>1</v>
      </c>
      <c r="R32" s="30">
        <f>IF(M32=Year_Open_to_Traffic?,Calculations!$J$5,Calculations!R31+(Calculations!R31*Calculations!O32*Q32))</f>
        <v>6367017.0244304799</v>
      </c>
      <c r="S32" s="45">
        <f t="shared" si="0"/>
        <v>1</v>
      </c>
      <c r="T32" s="30">
        <f t="shared" si="5"/>
        <v>6367.01702443048</v>
      </c>
      <c r="U32" s="31">
        <f>T32/(1+Real_Discount_Rate)^(Calculations!M32-'Assumed Values'!$C$5)</f>
        <v>957.61344705566512</v>
      </c>
    </row>
    <row r="33" spans="1:21" ht="15.75">
      <c r="A33" s="38" t="s">
        <v>139</v>
      </c>
      <c r="B33" s="39" t="s">
        <v>140</v>
      </c>
      <c r="D33" s="124">
        <f>D$26*'Value of Statistical Life'!D23*Appropriate_Crash_Reduction_Factor</f>
        <v>0.32910064396351696</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0.32910064396351696</v>
      </c>
      <c r="K33" s="69"/>
      <c r="L33" s="106"/>
      <c r="M33" s="11">
        <f t="shared" si="1"/>
        <v>2047</v>
      </c>
      <c r="N33" s="112">
        <f t="shared" si="6"/>
        <v>38476.138124837926</v>
      </c>
      <c r="O33" s="113">
        <f t="shared" si="7"/>
        <v>2.0076492698734683E-2</v>
      </c>
      <c r="P33" s="114">
        <f t="shared" si="8"/>
        <v>0.87657116992027018</v>
      </c>
      <c r="Q33" s="115">
        <f t="shared" si="4"/>
        <v>1</v>
      </c>
      <c r="R33" s="30">
        <f>IF(M33=Year_Open_to_Traffic?,Calculations!$J$5,Calculations!R32+(Calculations!R32*Calculations!O33*Q33))</f>
        <v>6494844.3952341778</v>
      </c>
      <c r="S33" s="45">
        <f t="shared" si="0"/>
        <v>1</v>
      </c>
      <c r="T33" s="30">
        <f t="shared" si="5"/>
        <v>6494.8443952341777</v>
      </c>
      <c r="U33" s="31">
        <f>T33/(1+Real_Discount_Rate)^(Calculations!M33-'Assumed Values'!$C$5)</f>
        <v>912.93361348942835</v>
      </c>
    </row>
    <row r="34" spans="1:21" ht="15.75">
      <c r="J34" s="125"/>
      <c r="L34" s="106"/>
      <c r="M34" s="11">
        <f t="shared" si="1"/>
        <v>2048</v>
      </c>
      <c r="N34" s="112">
        <f t="shared" si="6"/>
        <v>39248.604030976741</v>
      </c>
      <c r="O34" s="113">
        <f t="shared" si="7"/>
        <v>2.0076492698734683E-2</v>
      </c>
      <c r="P34" s="114">
        <f t="shared" si="8"/>
        <v>0.89416964461309578</v>
      </c>
      <c r="Q34" s="115">
        <f t="shared" si="4"/>
        <v>1</v>
      </c>
      <c r="R34" s="30">
        <f>IF(M34=Year_Open_to_Traffic?,Calculations!$J$5,Calculations!R33+(Calculations!R33*Calculations!O34*Q34))</f>
        <v>6625238.0913145151</v>
      </c>
      <c r="S34" s="45">
        <f t="shared" si="0"/>
        <v>1</v>
      </c>
      <c r="T34" s="30">
        <f t="shared" si="5"/>
        <v>6625.2380913145153</v>
      </c>
      <c r="U34" s="31">
        <f>T34/(1+Real_Discount_Rate)^(Calculations!M34-'Assumed Values'!$C$5)</f>
        <v>870.33842851876489</v>
      </c>
    </row>
    <row r="35" spans="1:21" ht="15.75">
      <c r="G35" s="41"/>
      <c r="H35" s="41"/>
      <c r="L35" s="106"/>
      <c r="M35" s="11">
        <f t="shared" si="1"/>
        <v>2049</v>
      </c>
      <c r="N35" s="112">
        <f t="shared" si="6"/>
        <v>40036.578343240173</v>
      </c>
      <c r="O35" s="113">
        <f t="shared" si="7"/>
        <v>2.0076492698734683E-2</v>
      </c>
      <c r="P35" s="114">
        <f t="shared" si="8"/>
        <v>0.91212143495460074</v>
      </c>
      <c r="Q35" s="115">
        <f t="shared" si="4"/>
        <v>1</v>
      </c>
      <c r="R35" s="30">
        <f>IF(M35=Year_Open_to_Traffic?,Calculations!$J$5,Calculations!R34+(Calculations!R34*Calculations!O35*Q35))</f>
        <v>6758249.6354821697</v>
      </c>
      <c r="S35" s="45">
        <f t="shared" si="0"/>
        <v>1</v>
      </c>
      <c r="T35" s="30">
        <f t="shared" si="5"/>
        <v>6758.2496354821697</v>
      </c>
      <c r="U35" s="31">
        <f>T35/(1+Real_Discount_Rate)^(Calculations!M35-'Assumed Values'!$C$5)</f>
        <v>829.73062768630825</v>
      </c>
    </row>
    <row r="36" spans="1:21" ht="15.75">
      <c r="G36" s="41"/>
      <c r="H36" s="41"/>
      <c r="L36" s="106"/>
      <c r="M36" s="11">
        <f t="shared" si="1"/>
        <v>2050</v>
      </c>
      <c r="N36" s="112">
        <f t="shared" si="6"/>
        <v>40840.37241603055</v>
      </c>
      <c r="O36" s="113">
        <f t="shared" si="7"/>
        <v>2.0076492698734683E-2</v>
      </c>
      <c r="P36" s="114">
        <f t="shared" si="8"/>
        <v>0.93043363428382619</v>
      </c>
      <c r="Q36" s="115">
        <f t="shared" si="4"/>
        <v>1</v>
      </c>
      <c r="R36" s="30">
        <f>IF(M36=Year_Open_to_Traffic?,Calculations!$J$5,Calculations!R35+(Calculations!R35*Calculations!O36*Q36))</f>
        <v>6893931.5849451534</v>
      </c>
      <c r="S36" s="45">
        <f t="shared" si="0"/>
        <v>1</v>
      </c>
      <c r="T36" s="30">
        <f t="shared" si="5"/>
        <v>6893.9315849451532</v>
      </c>
      <c r="U36" s="31">
        <f>T36/(1+Real_Discount_Rate)^(Calculations!M36-'Assumed Values'!$C$5)</f>
        <v>791.01748464950379</v>
      </c>
    </row>
    <row r="37" spans="1:21">
      <c r="M37" s="39"/>
      <c r="N37" s="39"/>
      <c r="O37" s="118"/>
      <c r="P37" s="120"/>
      <c r="Q37" s="39"/>
      <c r="R37" s="39"/>
      <c r="S37" s="39"/>
      <c r="T37" s="39"/>
      <c r="U37" s="31">
        <f>SUM(U4:U36)</f>
        <v>42563.902350404613</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174</v>
      </c>
      <c r="G7" s="39" t="s">
        <v>175</v>
      </c>
      <c r="H7" s="127" t="s">
        <v>176</v>
      </c>
      <c r="Q7" s="86"/>
      <c r="R7" s="85"/>
      <c r="S7" s="85"/>
      <c r="T7" s="85"/>
      <c r="U7" s="85"/>
      <c r="V7" s="85"/>
      <c r="W7" s="85"/>
      <c r="X7" s="85"/>
    </row>
    <row r="8" spans="3:24">
      <c r="C8" t="s">
        <v>50</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166</v>
      </c>
      <c r="H13" s="54" t="s">
        <v>169</v>
      </c>
      <c r="I13" s="54" t="s">
        <v>172</v>
      </c>
      <c r="J13" s="54" t="s">
        <v>175</v>
      </c>
      <c r="M13" s="39" t="s">
        <v>182</v>
      </c>
      <c r="N13" s="39" t="s">
        <v>183</v>
      </c>
      <c r="O13" s="39" t="s">
        <v>184</v>
      </c>
      <c r="Q13" s="62" t="s">
        <v>49</v>
      </c>
      <c r="R13" s="62" t="s">
        <v>185</v>
      </c>
      <c r="S13" s="62" t="s">
        <v>159</v>
      </c>
      <c r="T13" s="62" t="s">
        <v>163</v>
      </c>
      <c r="U13" s="62" t="s">
        <v>166</v>
      </c>
      <c r="V13" s="62" t="s">
        <v>169</v>
      </c>
      <c r="W13" s="62" t="s">
        <v>172</v>
      </c>
      <c r="X13" s="62" t="s">
        <v>175</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174</v>
      </c>
      <c r="D18" s="60"/>
      <c r="E18" s="60">
        <v>0.90708688014883054</v>
      </c>
      <c r="F18" s="60">
        <v>3.6345604444319584</v>
      </c>
      <c r="G18" s="60">
        <v>19.334618979610692</v>
      </c>
      <c r="H18" s="60">
        <v>53.611319786330533</v>
      </c>
      <c r="I18" s="60">
        <v>404.81547842368047</v>
      </c>
      <c r="J18" s="60">
        <v>37.824280317438905</v>
      </c>
      <c r="M18" s="39" t="s">
        <v>174</v>
      </c>
      <c r="N18" s="84">
        <v>61905697.659999996</v>
      </c>
      <c r="O18" s="84">
        <f t="shared" si="0"/>
        <v>16095481391.599998</v>
      </c>
      <c r="Q18" s="63" t="s">
        <v>174</v>
      </c>
      <c r="R18" s="64"/>
      <c r="S18" s="39">
        <v>146</v>
      </c>
      <c r="T18" s="39">
        <v>585</v>
      </c>
      <c r="U18" s="39">
        <v>3112</v>
      </c>
      <c r="V18" s="39">
        <v>8629</v>
      </c>
      <c r="W18" s="39">
        <v>65157</v>
      </c>
      <c r="X18" s="39">
        <v>6088</v>
      </c>
    </row>
    <row r="19" spans="3:24">
      <c r="C19" s="55" t="s">
        <v>50</v>
      </c>
      <c r="D19" s="60"/>
      <c r="E19" s="60">
        <v>3.3935222811020584</v>
      </c>
      <c r="F19" s="60">
        <v>4.2419028513775725</v>
      </c>
      <c r="G19" s="60">
        <v>9.3321862730306595</v>
      </c>
      <c r="H19" s="60">
        <v>22.057894827163377</v>
      </c>
      <c r="I19" s="60">
        <v>135.74089124408232</v>
      </c>
      <c r="J19" s="60">
        <v>3.3935222811020584</v>
      </c>
      <c r="M19" s="39" t="s">
        <v>50</v>
      </c>
      <c r="N19" s="84">
        <v>453352.42</v>
      </c>
      <c r="O19" s="84">
        <f t="shared" si="0"/>
        <v>117871629.2</v>
      </c>
      <c r="Q19" s="63" t="s">
        <v>50</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166</v>
      </c>
      <c r="H27" s="54" t="s">
        <v>169</v>
      </c>
      <c r="I27" s="54" t="s">
        <v>172</v>
      </c>
      <c r="J27" s="54" t="s">
        <v>175</v>
      </c>
      <c r="M27" s="39" t="s">
        <v>190</v>
      </c>
      <c r="N27" s="39" t="s">
        <v>183</v>
      </c>
      <c r="O27" s="39" t="s">
        <v>184</v>
      </c>
      <c r="Q27" s="62" t="s">
        <v>49</v>
      </c>
      <c r="R27" s="62" t="s">
        <v>185</v>
      </c>
      <c r="S27" s="62" t="s">
        <v>159</v>
      </c>
      <c r="T27" s="62" t="s">
        <v>163</v>
      </c>
      <c r="U27" s="62" t="s">
        <v>166</v>
      </c>
      <c r="V27" s="62" t="s">
        <v>169</v>
      </c>
      <c r="W27" s="62" t="s">
        <v>172</v>
      </c>
      <c r="X27" s="62" t="s">
        <v>175</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174</v>
      </c>
      <c r="D32" s="60"/>
      <c r="E32" s="60">
        <v>1.7455741549787349</v>
      </c>
      <c r="F32" s="60">
        <v>8.8235958091989612</v>
      </c>
      <c r="G32" s="60">
        <v>49.782648723119337</v>
      </c>
      <c r="H32" s="60">
        <v>124.27924895011503</v>
      </c>
      <c r="I32" s="60">
        <v>963.65828946693784</v>
      </c>
      <c r="J32" s="60">
        <v>83.618632907852302</v>
      </c>
      <c r="M32" s="39" t="s">
        <v>174</v>
      </c>
      <c r="N32" s="84">
        <v>68304614.209999993</v>
      </c>
      <c r="O32" s="84">
        <f t="shared" si="2"/>
        <v>17759199694.599998</v>
      </c>
      <c r="Q32" s="63" t="s">
        <v>174</v>
      </c>
      <c r="R32" s="64"/>
      <c r="S32" s="39">
        <v>310</v>
      </c>
      <c r="T32" s="84">
        <v>1567</v>
      </c>
      <c r="U32" s="84">
        <v>8841</v>
      </c>
      <c r="V32" s="84">
        <v>22071</v>
      </c>
      <c r="W32" s="84">
        <v>171138</v>
      </c>
      <c r="X32" s="84">
        <v>14850</v>
      </c>
    </row>
    <row r="33" spans="3:24">
      <c r="C33" s="56" t="s">
        <v>50</v>
      </c>
      <c r="D33" s="60"/>
      <c r="E33" s="60">
        <v>5.3130646924395055</v>
      </c>
      <c r="F33" s="60">
        <v>9.8447963418732023</v>
      </c>
      <c r="G33" s="60">
        <v>24.065057724578939</v>
      </c>
      <c r="H33" s="60">
        <v>52.349313881389243</v>
      </c>
      <c r="I33" s="60">
        <v>389.41638863409548</v>
      </c>
      <c r="J33" s="60">
        <v>13.126395122497602</v>
      </c>
      <c r="M33" s="39" t="s">
        <v>50</v>
      </c>
      <c r="N33" s="84">
        <v>2461276.84</v>
      </c>
      <c r="O33" s="84">
        <f t="shared" si="2"/>
        <v>639931978.39999998</v>
      </c>
      <c r="Q33" s="63" t="s">
        <v>50</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E89BDA-F67E-4AE6-8654-DF1BB28166E7}"/>
</file>

<file path=customXml/itemProps2.xml><?xml version="1.0" encoding="utf-8"?>
<ds:datastoreItem xmlns:ds="http://schemas.openxmlformats.org/officeDocument/2006/customXml" ds:itemID="{6C2DD95C-BA7B-414C-9335-73E41B2B9C33}"/>
</file>

<file path=customXml/itemProps3.xml><?xml version="1.0" encoding="utf-8"?>
<ds:datastoreItem xmlns:ds="http://schemas.openxmlformats.org/officeDocument/2006/customXml" ds:itemID="{406CEAF6-3392-4847-BB45-5ACD2BF62FDD}"/>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