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D:\cfa\2018\11010.Sheldon_Road\ENG\Sheldon Road TIP Application\Sheldon TIP Application\Sheldon Submittal 10-11-2018\"/>
    </mc:Choice>
  </mc:AlternateContent>
  <xr:revisionPtr revIDLastSave="0" documentId="10_ncr:100000_{446EC4DE-674F-4D05-9942-A3B5E7C6D312}" xr6:coauthVersionLast="31" xr6:coauthVersionMax="31" xr10:uidLastSave="{00000000-0000-0000-0000-000000000000}"/>
  <bookViews>
    <workbookView xWindow="0" yWindow="0" windowWidth="28800" windowHeight="1222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17"/>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<sst xmlns="http://schemas.openxmlformats.org/spreadsheetml/2006/main" count="263" uniqueCount="131">
  <si>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</si>
  <si>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</si>
  <si>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</si>
  <si>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</si>
  <si>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</si>
  <si>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</si>
  <si>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</si>
  <si>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</si>
  <si>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</si>
  <si>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</si>
  <si>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</si>
  <si>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</si>
  <si>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</si>
  <si>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</si>
  <si>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</si>
  <si>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</si>
  <si>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</si>
  <si>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</si>
  <si>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</si>
  <si>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</si>
  <si>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</si>
  <si>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</si>
  <si>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</si>
  <si>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</si>
  <si>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</si>
  <si>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</si>
  <si>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</si>
  <si>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</si>
  <si>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</si>
  <si>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</si>
  <si>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</si>
  <si>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</si>
  <si>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</si>
  <si>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</si>
  <si>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</si>
  <si>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</si>
  <si>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</si>
  <si>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</si>
  <si>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</si>
  <si>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</si>
  <si>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</si>
  <si>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</si>
  <si>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</si>
  <si>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</si>
  <si>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</si>
  <si>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</si>
  <si>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</si>
  <si>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</si>
  <si>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</si>
  <si>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</si>
  <si>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</si>
  <si>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</si>
  <si>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</si>
  <si>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</si>
  <si>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</si>
  <si>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</si>
  <si>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</si>
  <si>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</si>
  <si>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</si>
  <si>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</si>
  <si>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</si>
  <si>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</si>
  <si>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</si>
  <si>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</si>
  <si>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</si>
  <si>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</si>
  <si>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</si>
  <si>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</si>
  <si>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</si>
  <si>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</si>
  <si>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</si>
  <si>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</si>
  <si>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</si>
  <si>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</si>
  <si>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</si>
  <si>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</si>
  <si>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</si>
  <si>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</si>
  <si>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</si>
  <si>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</si>
  <si>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</si>
  <si>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</si>
  <si>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</si>
  <si>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</si>
  <si>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</si>
  <si>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</si>
  <si>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</si>
  <si>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</si>
  <si>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</si>
  <si>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</si>
  <si>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</si>
  <si>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</si>
  <si>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</si>
  <si>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</si>
  <si>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</si>
  <si>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</si>
  <si>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</si>
  <si>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</si>
  <si>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</si>
  <si>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</si>
  <si>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</si>
  <si>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</si>
  <si>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</si>
  <si>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</si>
  <si>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</si>
  <si>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</si>
  <si>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</si>
  <si>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</si>
  <si>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</si>
  <si>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</si>
  <si>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</si>
  <si>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</si>
  <si>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</si>
  <si>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</si>
  <si>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</si>
  <si>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</si>
  <si>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</si>
  <si>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</si>
  <si>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</si>
  <si>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</si>
  <si>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</si>
  <si>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</si>
  <si>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</si>
  <si>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</si>
  <si>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</si>
  <si>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</si>
  <si>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</si>
  <si>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</si>
  <si>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</si>
  <si>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Sheldon Road Reconstruction</t>
  </si>
  <si>
    <t>UPIN 19102MF0ZC01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</si>
</sst>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7" zoomScaleNormal="100" workbookViewId="0">
      <selection activeCell="B13" sqref="B13"/>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v>125</v>
      </c>
      <c r="D7" s="98"/>
      <c r="E7" s="99" t="s">
        <v>127</v>
      </c>
    </row>
    <row r="8" spans="1:5" x14ac:dyDescent="0.25">
      <c r="A8" s="6" t="s">
        <v>52</v>
      </c>
      <c r="B8" s="6" t="s">
        <v>130</v>
      </c>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2023</v>
      </c>
    </row>
    <row r="14" spans="1:5" x14ac:dyDescent="0.25">
      <c r="A14" s="6" t="s">
        <v>86</v>
      </c>
      <c r="B14" s="6" t="s">
        <v>121</v>
      </c>
    </row>
    <row r="15" spans="1:5" x14ac:dyDescent="0.25">
      <c r="A15" s="106" t="s">
        <v>87</v>
      </c>
      <c r="B15" s="57" t="s">
        <v>76</v>
      </c>
    </row>
    <row r="16" spans="1:5" x14ac:dyDescent="0.25">
      <c r="A16" s="106" t="s">
        <v>88</v>
      </c>
      <c r="B16" s="57">
        <v>2</v>
      </c>
    </row>
    <row r="17" spans="1:3" x14ac:dyDescent="0.25">
      <c r="A17" s="107" t="s">
        <v>95</v>
      </c>
      <c r="B17" s="57">
        <v>31.27</v>
      </c>
    </row>
    <row r="18" spans="1:3" x14ac:dyDescent="0.25">
      <c r="A18" s="107" t="s">
        <v>96</v>
      </c>
      <c r="B18" s="57">
        <v>37.1</v>
      </c>
    </row>
    <row r="19" spans="1:3" x14ac:dyDescent="0.25">
      <c r="A19" s="96" t="s">
        <v>97</v>
      </c>
      <c r="B19" s="97">
        <f>VLOOKUP(B14,'Service Life'!C6:D8,2,FALSE)</f>
        <v>20</v>
      </c>
    </row>
    <row r="21" spans="1:3" x14ac:dyDescent="0.25">
      <c r="A21" s="102" t="s">
        <v>89</v>
      </c>
    </row>
    <row r="22" spans="1:3" ht="20.25" customHeight="1" x14ac:dyDescent="0.25">
      <c r="A22" s="107" t="s">
        <v>90</v>
      </c>
      <c r="B22" s="119">
        <v>7219</v>
      </c>
    </row>
    <row r="23" spans="1:3" ht="30" x14ac:dyDescent="0.25">
      <c r="A23" s="118" t="s">
        <v>101</v>
      </c>
      <c r="B23" s="120">
        <v>8254</v>
      </c>
    </row>
    <row r="24" spans="1:3" ht="30" x14ac:dyDescent="0.25">
      <c r="A24" s="118" t="s">
        <v>102</v>
      </c>
      <c r="B24" s="120">
        <v>8585</v>
      </c>
    </row>
    <row r="27" spans="1:3" ht="18.75" x14ac:dyDescent="0.3">
      <c r="A27" s="100" t="s">
        <v>55</v>
      </c>
      <c r="B27" s="101"/>
    </row>
    <row r="29" spans="1:3" x14ac:dyDescent="0.25">
      <c r="A29" s="108" t="s">
        <v>53</v>
      </c>
    </row>
    <row r="30" spans="1:3" x14ac:dyDescent="0.25">
      <c r="A30" s="105" t="s">
        <v>112</v>
      </c>
      <c r="B30" s="114">
        <f>'Benefit Calculations'!M37</f>
        <v>507.05508808834992</v>
      </c>
    </row>
    <row r="31" spans="1:3" x14ac:dyDescent="0.25">
      <c r="A31" s="105" t="s">
        <v>113</v>
      </c>
      <c r="B31" s="114">
        <f>'Benefit Calculations'!Q37</f>
        <v>88.812272189757834</v>
      </c>
      <c r="C31" s="109"/>
    </row>
    <row r="32" spans="1:3" x14ac:dyDescent="0.25">
      <c r="A32" s="110"/>
      <c r="B32" s="111"/>
      <c r="C32" s="109"/>
    </row>
    <row r="33" spans="1:9" x14ac:dyDescent="0.25">
      <c r="A33" s="108" t="s">
        <v>94</v>
      </c>
      <c r="B33" s="111"/>
      <c r="C33" s="109"/>
    </row>
    <row r="34" spans="1:9" x14ac:dyDescent="0.25">
      <c r="A34" s="105" t="s">
        <v>114</v>
      </c>
      <c r="B34" s="114">
        <f>$B$30+$B$31</f>
        <v>595.86736027810775</v>
      </c>
      <c r="C34" s="109"/>
    </row>
    <row r="35" spans="1:9" x14ac:dyDescent="0.25">
      <c r="I35" s="112"/>
    </row>
    <row r="36" spans="1:9" x14ac:dyDescent="0.25">
      <c r="A36" s="108" t="s">
        <v>107</v>
      </c>
    </row>
    <row r="37" spans="1:9" x14ac:dyDescent="0.25">
      <c r="A37" s="105" t="s">
        <v>116</v>
      </c>
      <c r="B37" s="115">
        <f>'Benefit Calculations'!K37</f>
        <v>0.1680136498864914</v>
      </c>
    </row>
    <row r="38" spans="1:9" x14ac:dyDescent="0.25">
      <c r="A38" s="105" t="s">
        <v>117</v>
      </c>
      <c r="B38" s="115">
        <f>'Benefit Calculations'!O37</f>
        <v>0.11598229192819361</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C15" sqref="C15"/>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6.20126985013E-2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1.41283003612999E-2</v>
      </c>
      <c r="F4" s="70">
        <v>2018</v>
      </c>
      <c r="G4" s="80">
        <f>'Inputs &amp; Outputs'!B22</f>
        <v>7219</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6.0253500938399998E-2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1.29139004275E-2</v>
      </c>
      <c r="F5" s="70">
        <f t="shared" ref="F5:F36" si="2">F4+1</f>
        <v>2019</v>
      </c>
      <c r="G5" s="80">
        <f>G4+G4*H5</f>
        <v>7358.5040081953002</v>
      </c>
      <c r="H5" s="79">
        <f>$C$9</f>
        <v>1.9324561323632139E-2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7500.7038701518632</v>
      </c>
      <c r="H6" s="79">
        <f t="shared" ref="H6:H11" si="7">$C$9</f>
        <v>1.9324561323632139E-2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7645.6516820610177</v>
      </c>
      <c r="H7" s="79">
        <f t="shared" si="7"/>
        <v>1.9324561323632139E-2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7793.4005468501373</v>
      </c>
      <c r="H8" s="79">
        <f t="shared" si="7"/>
        <v>1.9324561323632139E-2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1.9324561323632139E-2</v>
      </c>
      <c r="F9" s="70">
        <f t="shared" si="2"/>
        <v>2023</v>
      </c>
      <c r="G9" s="80">
        <f t="shared" si="6"/>
        <v>7944.0045936373708</v>
      </c>
      <c r="H9" s="79">
        <f t="shared" si="7"/>
        <v>1.9324561323632139E-2</v>
      </c>
      <c r="I9" s="70">
        <f>IF(AND(F9&gt;='Inputs &amp; Outputs'!B$13,F9&lt;'Inputs &amp; Outputs'!B$13+'Inputs &amp; Outputs'!B$19),1,0)</f>
        <v>1</v>
      </c>
      <c r="J9" s="71">
        <f>I9*'Inputs &amp; Outputs'!B$16*'Benefit Calculations'!G9*('Benefit Calculations'!C$4-'Benefit Calculations'!C$5)</f>
        <v>27.950147041586558</v>
      </c>
      <c r="K9" s="89">
        <f t="shared" si="3"/>
        <v>8.0105449730291812E-3</v>
      </c>
      <c r="L9" s="72">
        <f>K9*'Assumed Values'!$C$8</f>
        <v>60.143171657503089</v>
      </c>
      <c r="M9" s="73">
        <f t="shared" si="0"/>
        <v>42.881250182113575</v>
      </c>
      <c r="N9" s="88">
        <f>I9*'Inputs &amp; Outputs'!B$16*'Benefit Calculations'!G9*('Benefit Calculations'!D$4-'Benefit Calculations'!D$5)</f>
        <v>19.294397305238647</v>
      </c>
      <c r="O9" s="89">
        <f t="shared" si="4"/>
        <v>5.5297969313414354E-3</v>
      </c>
      <c r="P9" s="72">
        <f>ABS(O9*'Assumed Values'!$C$7)</f>
        <v>10.534263154205435</v>
      </c>
      <c r="Q9" s="73">
        <f t="shared" si="1"/>
        <v>7.5107840399925108</v>
      </c>
      <c r="T9" s="85">
        <f t="shared" si="5"/>
        <v>7.2670382308125054E-3</v>
      </c>
      <c r="U9" s="86">
        <f>T9*'Assumed Values'!$D$8</f>
        <v>0</v>
      </c>
    </row>
    <row r="10" spans="2:21" x14ac:dyDescent="0.25">
      <c r="B10" s="16" t="s">
        <v>105</v>
      </c>
      <c r="C10" s="67">
        <f>('Inputs &amp; Outputs'!B24/'Inputs &amp; Outputs'!B23)^(1/(2045-2020))-1</f>
        <v>1.5739799289034018E-3</v>
      </c>
      <c r="F10" s="70">
        <f t="shared" si="2"/>
        <v>2024</v>
      </c>
      <c r="G10" s="80">
        <f t="shared" si="6"/>
        <v>8097.5189975623316</v>
      </c>
      <c r="H10" s="79">
        <f t="shared" si="7"/>
        <v>1.9324561323632139E-2</v>
      </c>
      <c r="I10" s="70">
        <f>IF(AND(F10&gt;='Inputs &amp; Outputs'!B$13,F10&lt;'Inputs &amp; Outputs'!B$13+'Inputs &amp; Outputs'!B$19),1,0)</f>
        <v>1</v>
      </c>
      <c r="J10" s="71">
        <f>I10*'Inputs &amp; Outputs'!B$16*'Benefit Calculations'!G10*('Benefit Calculations'!C$4-'Benefit Calculations'!C$5)</f>
        <v>28.490271372096235</v>
      </c>
      <c r="K10" s="89">
        <f t="shared" si="3"/>
        <v>8.1653452405961967E-3</v>
      </c>
      <c r="L10" s="72">
        <f>K10*'Assumed Values'!$C$8</f>
        <v>61.305412066396244</v>
      </c>
      <c r="M10" s="73">
        <f t="shared" si="0"/>
        <v>40.850384608310137</v>
      </c>
      <c r="N10" s="88">
        <f>I10*'Inputs &amp; Outputs'!B$16*'Benefit Calculations'!G10*('Benefit Calculations'!D$4-'Benefit Calculations'!D$5)</f>
        <v>19.667253069166254</v>
      </c>
      <c r="O10" s="89">
        <f t="shared" si="4"/>
        <v>5.6366578312483746E-3</v>
      </c>
      <c r="P10" s="72">
        <f>ABS(O10*'Assumed Values'!$C$7)</f>
        <v>10.737833168528153</v>
      </c>
      <c r="Q10" s="73">
        <f t="shared" si="1"/>
        <v>7.1550716324877586</v>
      </c>
      <c r="T10" s="85">
        <f t="shared" si="5"/>
        <v>7.4074705567450209E-3</v>
      </c>
      <c r="U10" s="86">
        <f>T10*'Assumed Values'!$D$8</f>
        <v>0</v>
      </c>
    </row>
    <row r="11" spans="2:21" x14ac:dyDescent="0.25">
      <c r="B11" s="16" t="s">
        <v>106</v>
      </c>
      <c r="C11" s="67">
        <f>('Inputs &amp; Outputs'!B24/'Inputs &amp; Outputs'!B22)^(1/(2045-2018))-1</f>
        <v>6.4391634076639281E-3</v>
      </c>
      <c r="F11" s="70">
        <f t="shared" si="2"/>
        <v>2025</v>
      </c>
      <c r="G11" s="80">
        <f>'Inputs &amp; Outputs'!$B$23</f>
        <v>8254</v>
      </c>
      <c r="H11" s="79">
        <f t="shared" si="7"/>
        <v>1.9324561323632139E-2</v>
      </c>
      <c r="I11" s="70">
        <f>IF(AND(F11&gt;='Inputs &amp; Outputs'!B$13,F11&lt;'Inputs &amp; Outputs'!B$13+'Inputs &amp; Outputs'!B$19),1,0)</f>
        <v>1</v>
      </c>
      <c r="J11" s="71">
        <f>I11*'Inputs &amp; Outputs'!B$16*'Benefit Calculations'!G11*('Benefit Calculations'!C$4-'Benefit Calculations'!C$5)</f>
        <v>29.040833368353223</v>
      </c>
      <c r="K11" s="89">
        <f t="shared" si="3"/>
        <v>8.3231369554267239E-3</v>
      </c>
      <c r="L11" s="72">
        <f>K11*'Assumed Values'!$C$8</f>
        <v>62.490112261343846</v>
      </c>
      <c r="M11" s="73">
        <f t="shared" si="0"/>
        <v>38.915701281091003</v>
      </c>
      <c r="N11" s="88">
        <f>I11*'Inputs &amp; Outputs'!B$16*'Benefit Calculations'!G11*('Benefit Calculations'!D$4-'Benefit Calculations'!D$5)</f>
        <v>20.047314107168749</v>
      </c>
      <c r="O11" s="89">
        <f t="shared" si="4"/>
        <v>5.7455837711686648E-3</v>
      </c>
      <c r="P11" s="72">
        <f>ABS(O11*'Assumed Values'!$C$7)</f>
        <v>10.945337084076307</v>
      </c>
      <c r="Q11" s="73">
        <f t="shared" si="1"/>
        <v>6.8162058439483637</v>
      </c>
      <c r="T11" s="85">
        <f t="shared" si="5"/>
        <v>7.5506166757718382E-3</v>
      </c>
      <c r="U11" s="86">
        <f>T11*'Assumed Values'!$D$8</f>
        <v>0</v>
      </c>
    </row>
    <row r="12" spans="2:21" x14ac:dyDescent="0.25">
      <c r="B12" s="27"/>
      <c r="C12" s="68"/>
      <c r="F12" s="70">
        <f t="shared" si="2"/>
        <v>2026</v>
      </c>
      <c r="G12" s="80">
        <f t="shared" si="6"/>
        <v>8266.9916303331684</v>
      </c>
      <c r="H12" s="79">
        <f>$C$10</f>
        <v>1.5739799289034018E-3</v>
      </c>
      <c r="I12" s="70">
        <f>IF(AND(F12&gt;='Inputs &amp; Outputs'!B$13,F12&lt;'Inputs &amp; Outputs'!B$13+'Inputs &amp; Outputs'!B$19),1,0)</f>
        <v>1</v>
      </c>
      <c r="J12" s="71">
        <f>I12*'Inputs &amp; Outputs'!B$16*'Benefit Calculations'!G12*('Benefit Calculations'!C$4-'Benefit Calculations'!C$5)</f>
        <v>29.086543057193641</v>
      </c>
      <c r="K12" s="89">
        <f t="shared" si="3"/>
        <v>8.3362374059400817E-3</v>
      </c>
      <c r="L12" s="72">
        <f>K12*'Assumed Values'!$C$8</f>
        <v>62.588470443798137</v>
      </c>
      <c r="M12" s="73">
        <f t="shared" si="0"/>
        <v>36.427059639090331</v>
      </c>
      <c r="N12" s="88">
        <f>I12*'Inputs &amp; Outputs'!B$16*'Benefit Calculations'!G12*('Benefit Calculations'!D$4-'Benefit Calculations'!D$5)</f>
        <v>20.078868177201851</v>
      </c>
      <c r="O12" s="89">
        <f t="shared" si="4"/>
        <v>5.7546272047043169E-3</v>
      </c>
      <c r="P12" s="72">
        <f>ABS(O12*'Assumed Values'!$C$7)</f>
        <v>10.962564824961724</v>
      </c>
      <c r="Q12" s="73">
        <f t="shared" si="1"/>
        <v>6.3803125375121601</v>
      </c>
      <c r="T12" s="85">
        <f t="shared" si="5"/>
        <v>7.5625011948703465E-3</v>
      </c>
      <c r="U12" s="86">
        <f>T12*'Assumed Values'!$D$8</f>
        <v>0</v>
      </c>
    </row>
    <row r="13" spans="2:21" x14ac:dyDescent="0.25">
      <c r="B13" s="27"/>
      <c r="C13" s="68"/>
      <c r="F13" s="70">
        <f t="shared" si="2"/>
        <v>2027</v>
      </c>
      <c r="G13" s="80">
        <f t="shared" si="6"/>
        <v>8280.0037092317252</v>
      </c>
      <c r="H13" s="79">
        <f t="shared" ref="H13:H36" si="8">$C$10</f>
        <v>1.5739799289034018E-3</v>
      </c>
      <c r="I13" s="70">
        <f>IF(AND(F13&gt;='Inputs &amp; Outputs'!B$13,F13&lt;'Inputs &amp; Outputs'!B$13+'Inputs &amp; Outputs'!B$19),1,0)</f>
        <v>1</v>
      </c>
      <c r="J13" s="71">
        <f>I13*'Inputs &amp; Outputs'!B$16*'Benefit Calculations'!G13*('Benefit Calculations'!C$4-'Benefit Calculations'!C$5)</f>
        <v>29.132324692166847</v>
      </c>
      <c r="K13" s="89">
        <f t="shared" si="3"/>
        <v>8.3493584762996051E-3</v>
      </c>
      <c r="L13" s="72">
        <f>K13*'Assumed Values'!$C$8</f>
        <v>62.686983440057432</v>
      </c>
      <c r="M13" s="73">
        <f t="shared" si="0"/>
        <v>34.09756551386095</v>
      </c>
      <c r="N13" s="88">
        <f>I13*'Inputs &amp; Outputs'!B$16*'Benefit Calculations'!G13*('Benefit Calculations'!D$4-'Benefit Calculations'!D$5)</f>
        <v>20.110471912707865</v>
      </c>
      <c r="O13" s="89">
        <f t="shared" si="4"/>
        <v>5.7636848724228439E-3</v>
      </c>
      <c r="P13" s="72">
        <f>ABS(O13*'Assumed Values'!$C$7)</f>
        <v>10.979819681965518</v>
      </c>
      <c r="Q13" s="73">
        <f t="shared" si="1"/>
        <v>5.9722944125105935</v>
      </c>
      <c r="T13" s="85">
        <f t="shared" si="5"/>
        <v>7.5744044199633799E-3</v>
      </c>
      <c r="U13" s="86">
        <f>T13*'Assumed Values'!$D$8</f>
        <v>0</v>
      </c>
    </row>
    <row r="14" spans="2:21" x14ac:dyDescent="0.25">
      <c r="B14" s="27"/>
      <c r="C14" s="68"/>
      <c r="F14" s="70">
        <f t="shared" si="2"/>
        <v>2028</v>
      </c>
      <c r="G14" s="80">
        <f t="shared" si="6"/>
        <v>8293.036268881302</v>
      </c>
      <c r="H14" s="79">
        <f t="shared" si="8"/>
        <v>1.5739799289034018E-3</v>
      </c>
      <c r="I14" s="70">
        <f>IF(AND(F14&gt;='Inputs &amp; Outputs'!B$13,F14&lt;'Inputs &amp; Outputs'!B$13+'Inputs &amp; Outputs'!B$19),1,0)</f>
        <v>1</v>
      </c>
      <c r="J14" s="71">
        <f>I14*'Inputs &amp; Outputs'!B$16*'Benefit Calculations'!G14*('Benefit Calculations'!C$4-'Benefit Calculations'!C$5)</f>
        <v>29.178178386514617</v>
      </c>
      <c r="K14" s="89">
        <f t="shared" si="3"/>
        <v>8.3625001989605201E-3</v>
      </c>
      <c r="L14" s="72">
        <f>K14*'Assumed Values'!$C$8</f>
        <v>62.785651493795584</v>
      </c>
      <c r="M14" s="73">
        <f t="shared" si="0"/>
        <v>31.917041493088071</v>
      </c>
      <c r="N14" s="88">
        <f>I14*'Inputs &amp; Outputs'!B$16*'Benefit Calculations'!G14*('Benefit Calculations'!D$4-'Benefit Calculations'!D$5)</f>
        <v>20.142125391859246</v>
      </c>
      <c r="O14" s="89">
        <f t="shared" si="4"/>
        <v>5.772756796728562E-3</v>
      </c>
      <c r="P14" s="72">
        <f>ABS(O14*'Assumed Values'!$C$7)</f>
        <v>10.99710169776791</v>
      </c>
      <c r="Q14" s="73">
        <f t="shared" si="1"/>
        <v>5.5903688635938202</v>
      </c>
      <c r="T14" s="85">
        <f t="shared" si="5"/>
        <v>7.5863263804938005E-3</v>
      </c>
      <c r="U14" s="86">
        <f>T14*'Assumed Values'!$D$8</f>
        <v>0</v>
      </c>
    </row>
    <row r="15" spans="2:21" x14ac:dyDescent="0.25">
      <c r="B15" s="27"/>
      <c r="C15" s="69"/>
      <c r="F15" s="70">
        <f t="shared" si="2"/>
        <v>2029</v>
      </c>
      <c r="G15" s="80">
        <f t="shared" si="6"/>
        <v>8306.089341518189</v>
      </c>
      <c r="H15" s="79">
        <f t="shared" si="8"/>
        <v>1.5739799289034018E-3</v>
      </c>
      <c r="I15" s="70">
        <f>IF(AND(F15&gt;='Inputs &amp; Outputs'!B$13,F15&lt;'Inputs &amp; Outputs'!B$13+'Inputs &amp; Outputs'!B$19),1,0)</f>
        <v>1</v>
      </c>
      <c r="J15" s="71">
        <f>I15*'Inputs &amp; Outputs'!B$16*'Benefit Calculations'!G15*('Benefit Calculations'!C$4-'Benefit Calculations'!C$5)</f>
        <v>29.224104253656954</v>
      </c>
      <c r="K15" s="89">
        <f t="shared" si="3"/>
        <v>8.3756626064291351E-3</v>
      </c>
      <c r="L15" s="72">
        <f>K15*'Assumed Values'!$C$8</f>
        <v>62.884474849069946</v>
      </c>
      <c r="M15" s="73">
        <f t="shared" si="0"/>
        <v>29.875961005409501</v>
      </c>
      <c r="N15" s="88">
        <f>I15*'Inputs &amp; Outputs'!B$16*'Benefit Calculations'!G15*('Benefit Calculations'!D$4-'Benefit Calculations'!D$5)</f>
        <v>20.173828692951485</v>
      </c>
      <c r="O15" s="89">
        <f t="shared" si="4"/>
        <v>5.7818430000610528E-3</v>
      </c>
      <c r="P15" s="72">
        <f>ABS(O15*'Assumed Values'!$C$7)</f>
        <v>11.014410915116306</v>
      </c>
      <c r="Q15" s="73">
        <f t="shared" si="1"/>
        <v>5.2328672822245634</v>
      </c>
      <c r="T15" s="85">
        <f t="shared" si="5"/>
        <v>7.5982671059508086E-3</v>
      </c>
      <c r="U15" s="86">
        <f>T15*'Assumed Values'!$D$8</f>
        <v>0</v>
      </c>
    </row>
    <row r="16" spans="2:21" x14ac:dyDescent="0.25">
      <c r="B16" s="27"/>
      <c r="C16" s="69"/>
      <c r="F16" s="70">
        <f t="shared" si="2"/>
        <v>2030</v>
      </c>
      <c r="G16" s="80">
        <f t="shared" si="6"/>
        <v>8319.1629594294172</v>
      </c>
      <c r="H16" s="79">
        <f t="shared" si="8"/>
        <v>1.5739799289034018E-3</v>
      </c>
      <c r="I16" s="70">
        <f>IF(AND(F16&gt;='Inputs &amp; Outputs'!B$13,F16&lt;'Inputs &amp; Outputs'!B$13+'Inputs &amp; Outputs'!B$19),1,0)</f>
        <v>1</v>
      </c>
      <c r="J16" s="71">
        <f>I16*'Inputs &amp; Outputs'!B$16*'Benefit Calculations'!G16*('Benefit Calculations'!C$4-'Benefit Calculations'!C$5)</f>
        <v>29.27010240719239</v>
      </c>
      <c r="K16" s="89">
        <f t="shared" si="3"/>
        <v>8.3888457312629207E-3</v>
      </c>
      <c r="L16" s="72">
        <f>K16*'Assumed Values'!$C$8</f>
        <v>62.983453750322006</v>
      </c>
      <c r="M16" s="73">
        <f t="shared" si="0"/>
        <v>27.965406699428712</v>
      </c>
      <c r="N16" s="88">
        <f>I16*'Inputs &amp; Outputs'!B$16*'Benefit Calculations'!G16*('Benefit Calculations'!D$4-'Benefit Calculations'!D$5)</f>
        <v>20.205581894403327</v>
      </c>
      <c r="O16" s="89">
        <f t="shared" si="4"/>
        <v>5.79094350489522E-3</v>
      </c>
      <c r="P16" s="72">
        <f>ABS(O16*'Assumed Values'!$C$7)</f>
        <v>11.031747376825393</v>
      </c>
      <c r="Q16" s="73">
        <f t="shared" si="1"/>
        <v>4.8982277666330853</v>
      </c>
      <c r="T16" s="85">
        <f t="shared" si="5"/>
        <v>7.6102266258700211E-3</v>
      </c>
      <c r="U16" s="86">
        <f>T16*'Assumed Values'!$D$8</f>
        <v>0</v>
      </c>
    </row>
    <row r="17" spans="2:21" x14ac:dyDescent="0.25">
      <c r="B17" s="27"/>
      <c r="C17" s="69"/>
      <c r="F17" s="70">
        <f t="shared" si="2"/>
        <v>2031</v>
      </c>
      <c r="G17" s="80">
        <f t="shared" si="6"/>
        <v>8332.2571549528366</v>
      </c>
      <c r="H17" s="79">
        <f t="shared" si="8"/>
        <v>1.5739799289034018E-3</v>
      </c>
      <c r="I17" s="70">
        <f>IF(AND(F17&gt;='Inputs &amp; Outputs'!B$13,F17&lt;'Inputs &amp; Outputs'!B$13+'Inputs &amp; Outputs'!B$19),1,0)</f>
        <v>1</v>
      </c>
      <c r="J17" s="71">
        <f>I17*'Inputs &amp; Outputs'!B$16*'Benefit Calculations'!G17*('Benefit Calculations'!C$4-'Benefit Calculations'!C$5)</f>
        <v>29.31617296089826</v>
      </c>
      <c r="K17" s="89">
        <f t="shared" si="3"/>
        <v>8.4020496060705947E-3</v>
      </c>
      <c r="L17" s="72">
        <f>K17*'Assumed Values'!$C$8</f>
        <v>63.082588442378025</v>
      </c>
      <c r="M17" s="73">
        <f t="shared" si="0"/>
        <v>26.177031484371241</v>
      </c>
      <c r="N17" s="88">
        <f>I17*'Inputs &amp; Outputs'!B$16*'Benefit Calculations'!G17*('Benefit Calculations'!D$4-'Benefit Calculations'!D$5)</f>
        <v>20.237385074756936</v>
      </c>
      <c r="O17" s="89">
        <f t="shared" si="4"/>
        <v>5.8000583337413395E-3</v>
      </c>
      <c r="P17" s="72">
        <f>ABS(O17*'Assumed Values'!$C$7)</f>
        <v>11.049111125777252</v>
      </c>
      <c r="Q17" s="73">
        <f t="shared" si="1"/>
        <v>4.5849882979672554</v>
      </c>
      <c r="T17" s="85">
        <f t="shared" si="5"/>
        <v>7.6222049698335473E-3</v>
      </c>
      <c r="U17" s="86">
        <f>T17*'Assumed Values'!$D$8</f>
        <v>0</v>
      </c>
    </row>
    <row r="18" spans="2:21" x14ac:dyDescent="0.25">
      <c r="F18" s="70">
        <f t="shared" si="2"/>
        <v>2032</v>
      </c>
      <c r="G18" s="80">
        <f t="shared" si="6"/>
        <v>8345.3719604771941</v>
      </c>
      <c r="H18" s="79">
        <f t="shared" si="8"/>
        <v>1.5739799289034018E-3</v>
      </c>
      <c r="I18" s="70">
        <f>IF(AND(F18&gt;='Inputs &amp; Outputs'!B$13,F18&lt;'Inputs &amp; Outputs'!B$13+'Inputs &amp; Outputs'!B$19),1,0)</f>
        <v>1</v>
      </c>
      <c r="J18" s="71">
        <f>I18*'Inputs &amp; Outputs'!B$16*'Benefit Calculations'!G18*('Benefit Calculations'!C$4-'Benefit Calculations'!C$5)</f>
        <v>29.362316028730973</v>
      </c>
      <c r="K18" s="89">
        <f t="shared" si="3"/>
        <v>8.415274263512202E-3</v>
      </c>
      <c r="L18" s="72">
        <f>K18*'Assumed Values'!$C$8</f>
        <v>63.181879170449612</v>
      </c>
      <c r="M18" s="73">
        <f t="shared" si="0"/>
        <v>24.503022062173756</v>
      </c>
      <c r="N18" s="88">
        <f>I18*'Inputs &amp; Outputs'!B$16*'Benefit Calculations'!G18*('Benefit Calculations'!D$4-'Benefit Calculations'!D$5)</f>
        <v>20.269238312678091</v>
      </c>
      <c r="O18" s="89">
        <f t="shared" si="4"/>
        <v>5.8091875091451171E-3</v>
      </c>
      <c r="P18" s="72">
        <f>ABS(O18*'Assumed Values'!$C$7)</f>
        <v>11.066502204921449</v>
      </c>
      <c r="Q18" s="73">
        <f t="shared" si="1"/>
        <v>4.2917803528247784</v>
      </c>
      <c r="T18" s="85">
        <f t="shared" si="5"/>
        <v>7.6342021674700531E-3</v>
      </c>
      <c r="U18" s="86">
        <f>T18*'Assumed Values'!$D$8</f>
        <v>0</v>
      </c>
    </row>
    <row r="19" spans="2:21" x14ac:dyDescent="0.25">
      <c r="F19" s="70">
        <f t="shared" si="2"/>
        <v>2033</v>
      </c>
      <c r="G19" s="80">
        <f t="shared" si="6"/>
        <v>8358.5074084422176</v>
      </c>
      <c r="H19" s="79">
        <f t="shared" si="8"/>
        <v>1.5739799289034018E-3</v>
      </c>
      <c r="I19" s="70">
        <f>IF(AND(F19&gt;='Inputs &amp; Outputs'!B$13,F19&lt;'Inputs &amp; Outputs'!B$13+'Inputs &amp; Outputs'!B$19),1,0)</f>
        <v>1</v>
      </c>
      <c r="J19" s="71">
        <f>I19*'Inputs &amp; Outputs'!B$16*'Benefit Calculations'!G19*('Benefit Calculations'!C$4-'Benefit Calculations'!C$5)</f>
        <v>29.408531724826311</v>
      </c>
      <c r="K19" s="89">
        <f t="shared" si="3"/>
        <v>8.4285197362991855E-3</v>
      </c>
      <c r="L19" s="72">
        <f>K19*'Assumed Values'!$C$8</f>
        <v>63.281326180134286</v>
      </c>
      <c r="M19" s="73">
        <f t="shared" si="0"/>
        <v>22.93606479167952</v>
      </c>
      <c r="N19" s="88">
        <f>I19*'Inputs &amp; Outputs'!B$16*'Benefit Calculations'!G19*('Benefit Calculations'!D$4-'Benefit Calculations'!D$5)</f>
        <v>20.301141686956406</v>
      </c>
      <c r="O19" s="89">
        <f t="shared" si="4"/>
        <v>5.8183310536877473E-3</v>
      </c>
      <c r="P19" s="72">
        <f>ABS(O19*'Assumed Values'!$C$7)</f>
        <v>11.083920657275158</v>
      </c>
      <c r="Q19" s="73">
        <f t="shared" si="1"/>
        <v>4.0173229242611077</v>
      </c>
      <c r="T19" s="85">
        <f t="shared" si="5"/>
        <v>7.6462182484548415E-3</v>
      </c>
      <c r="U19" s="86">
        <f>T19*'Assumed Values'!$D$8</f>
        <v>0</v>
      </c>
    </row>
    <row r="20" spans="2:21" x14ac:dyDescent="0.25">
      <c r="F20" s="70">
        <f t="shared" si="2"/>
        <v>2034</v>
      </c>
      <c r="G20" s="80">
        <f t="shared" si="6"/>
        <v>8371.663531338696</v>
      </c>
      <c r="H20" s="79">
        <f t="shared" si="8"/>
        <v>1.5739799289034018E-3</v>
      </c>
      <c r="I20" s="70">
        <f>IF(AND(F20&gt;='Inputs &amp; Outputs'!B$13,F20&lt;'Inputs &amp; Outputs'!B$13+'Inputs &amp; Outputs'!B$19),1,0)</f>
        <v>1</v>
      </c>
      <c r="J20" s="71">
        <f>I20*'Inputs &amp; Outputs'!B$16*'Benefit Calculations'!G20*('Benefit Calculations'!C$4-'Benefit Calculations'!C$5)</f>
        <v>29.454820163499708</v>
      </c>
      <c r="K20" s="89">
        <f t="shared" si="3"/>
        <v>8.4417860571944867E-3</v>
      </c>
      <c r="L20" s="72">
        <f>K20*'Assumed Values'!$C$8</f>
        <v>63.380929717416208</v>
      </c>
      <c r="M20" s="73">
        <f t="shared" si="0"/>
        <v>21.469313735803418</v>
      </c>
      <c r="N20" s="88">
        <f>I20*'Inputs &amp; Outputs'!B$16*'Benefit Calculations'!G20*('Benefit Calculations'!D$4-'Benefit Calculations'!D$5)</f>
        <v>20.3330952765055</v>
      </c>
      <c r="O20" s="89">
        <f t="shared" si="4"/>
        <v>5.8274889899859678E-3</v>
      </c>
      <c r="P20" s="72">
        <f>ABS(O20*'Assumed Values'!$C$7)</f>
        <v>11.101366525923268</v>
      </c>
      <c r="Q20" s="73">
        <f t="shared" si="1"/>
        <v>3.7604169251512332</v>
      </c>
      <c r="T20" s="85">
        <f t="shared" si="5"/>
        <v>7.6582532425099248E-3</v>
      </c>
      <c r="U20" s="86">
        <f>T20*'Assumed Values'!$D$8</f>
        <v>0</v>
      </c>
    </row>
    <row r="21" spans="2:21" x14ac:dyDescent="0.25">
      <c r="F21" s="70">
        <f t="shared" si="2"/>
        <v>2035</v>
      </c>
      <c r="G21" s="80">
        <f t="shared" si="6"/>
        <v>8384.8403617085551</v>
      </c>
      <c r="H21" s="79">
        <f t="shared" si="8"/>
        <v>1.5739799289034018E-3</v>
      </c>
      <c r="I21" s="70">
        <f>IF(AND(F21&gt;='Inputs &amp; Outputs'!B$13,F21&lt;'Inputs &amp; Outputs'!B$13+'Inputs &amp; Outputs'!B$19),1,0)</f>
        <v>1</v>
      </c>
      <c r="J21" s="71">
        <f>I21*'Inputs &amp; Outputs'!B$16*'Benefit Calculations'!G21*('Benefit Calculations'!C$4-'Benefit Calculations'!C$5)</f>
        <v>29.501181459246514</v>
      </c>
      <c r="K21" s="89">
        <f t="shared" si="3"/>
        <v>8.4550732590126087E-3</v>
      </c>
      <c r="L21" s="72">
        <f>K21*'Assumed Values'!$C$8</f>
        <v>63.480690028666665</v>
      </c>
      <c r="M21" s="73">
        <f t="shared" si="0"/>
        <v>20.096360752066264</v>
      </c>
      <c r="N21" s="88">
        <f>I21*'Inputs &amp; Outputs'!B$16*'Benefit Calculations'!G21*('Benefit Calculations'!D$4-'Benefit Calculations'!D$5)</f>
        <v>20.365099160363197</v>
      </c>
      <c r="O21" s="89">
        <f t="shared" si="4"/>
        <v>5.8366613406921099E-3</v>
      </c>
      <c r="P21" s="72">
        <f>ABS(O21*'Assumed Values'!$C$7)</f>
        <v>11.11883985401847</v>
      </c>
      <c r="Q21" s="73">
        <f t="shared" si="1"/>
        <v>3.5199399494539527</v>
      </c>
      <c r="T21" s="85">
        <f t="shared" si="5"/>
        <v>7.6703071794040935E-3</v>
      </c>
      <c r="U21" s="86">
        <f>T21*'Assumed Values'!$D$8</f>
        <v>0</v>
      </c>
    </row>
    <row r="22" spans="2:21" x14ac:dyDescent="0.25">
      <c r="F22" s="70">
        <f t="shared" si="2"/>
        <v>2036</v>
      </c>
      <c r="G22" s="80">
        <f t="shared" si="6"/>
        <v>8398.0379321449436</v>
      </c>
      <c r="H22" s="79">
        <f t="shared" si="8"/>
        <v>1.5739799289034018E-3</v>
      </c>
      <c r="I22" s="70">
        <f>IF(AND(F22&gt;='Inputs &amp; Outputs'!B$13,F22&lt;'Inputs &amp; Outputs'!B$13+'Inputs &amp; Outputs'!B$19),1,0)</f>
        <v>1</v>
      </c>
      <c r="J22" s="71">
        <f>I22*'Inputs &amp; Outputs'!B$16*'Benefit Calculations'!G22*('Benefit Calculations'!C$4-'Benefit Calculations'!C$5)</f>
        <v>29.547615726742304</v>
      </c>
      <c r="K22" s="89">
        <f t="shared" si="3"/>
        <v>8.4683813746197021E-3</v>
      </c>
      <c r="L22" s="72">
        <f>K22*'Assumed Values'!$C$8</f>
        <v>63.58060736064472</v>
      </c>
      <c r="M22" s="73">
        <f t="shared" si="0"/>
        <v>18.811207495826185</v>
      </c>
      <c r="N22" s="88">
        <f>I22*'Inputs &amp; Outputs'!B$16*'Benefit Calculations'!G22*('Benefit Calculations'!D$4-'Benefit Calculations'!D$5)</f>
        <v>20.397153417691737</v>
      </c>
      <c r="O22" s="89">
        <f t="shared" si="4"/>
        <v>5.8458481284941657E-3</v>
      </c>
      <c r="P22" s="72">
        <f>ABS(O22*'Assumed Values'!$C$7)</f>
        <v>11.136340684781386</v>
      </c>
      <c r="Q22" s="73">
        <f t="shared" si="1"/>
        <v>3.2948413684909705</v>
      </c>
      <c r="T22" s="85">
        <f t="shared" si="5"/>
        <v>7.6823800889529994E-3</v>
      </c>
      <c r="U22" s="86">
        <f>T22*'Assumed Values'!$D$8</f>
        <v>0</v>
      </c>
    </row>
    <row r="23" spans="2:21" x14ac:dyDescent="0.25">
      <c r="F23" s="70">
        <f t="shared" si="2"/>
        <v>2037</v>
      </c>
      <c r="G23" s="80">
        <f t="shared" si="6"/>
        <v>8411.2562752923095</v>
      </c>
      <c r="H23" s="79">
        <f t="shared" si="8"/>
        <v>1.5739799289034018E-3</v>
      </c>
      <c r="I23" s="70">
        <f>IF(AND(F23&gt;='Inputs &amp; Outputs'!B$13,F23&lt;'Inputs &amp; Outputs'!B$13+'Inputs &amp; Outputs'!B$19),1,0)</f>
        <v>1</v>
      </c>
      <c r="J23" s="71">
        <f>I23*'Inputs &amp; Outputs'!B$16*'Benefit Calculations'!G23*('Benefit Calculations'!C$4-'Benefit Calculations'!C$5)</f>
        <v>29.594123080843151</v>
      </c>
      <c r="K23" s="89">
        <f t="shared" si="3"/>
        <v>8.4817104369336524E-3</v>
      </c>
      <c r="L23" s="72">
        <f>K23*'Assumed Values'!$C$8</f>
        <v>63.680681960497864</v>
      </c>
      <c r="M23" s="73">
        <f t="shared" si="0"/>
        <v>17.608239213890702</v>
      </c>
      <c r="N23" s="88">
        <f>I23*'Inputs &amp; Outputs'!B$16*'Benefit Calculations'!G23*('Benefit Calculations'!D$4-'Benefit Calculations'!D$5)</f>
        <v>20.429258127777945</v>
      </c>
      <c r="O23" s="89">
        <f t="shared" si="4"/>
        <v>5.8550493761158322E-3</v>
      </c>
      <c r="P23" s="72">
        <f>ABS(O23*'Assumed Values'!$C$7)</f>
        <v>11.153869061500661</v>
      </c>
      <c r="Q23" s="73">
        <f t="shared" si="1"/>
        <v>3.0841377408167245</v>
      </c>
      <c r="T23" s="85">
        <f t="shared" si="5"/>
        <v>7.6944720010192194E-3</v>
      </c>
      <c r="U23" s="86">
        <f>T23*'Assumed Values'!$D$8</f>
        <v>0</v>
      </c>
    </row>
    <row r="24" spans="2:21" x14ac:dyDescent="0.25">
      <c r="F24" s="70">
        <f t="shared" si="2"/>
        <v>2038</v>
      </c>
      <c r="G24" s="80">
        <f t="shared" si="6"/>
        <v>8424.4954238464816</v>
      </c>
      <c r="H24" s="79">
        <f t="shared" si="8"/>
        <v>1.5739799289034018E-3</v>
      </c>
      <c r="I24" s="70">
        <f>IF(AND(F24&gt;='Inputs &amp; Outputs'!B$13,F24&lt;'Inputs &amp; Outputs'!B$13+'Inputs &amp; Outputs'!B$19),1,0)</f>
        <v>1</v>
      </c>
      <c r="J24" s="71">
        <f>I24*'Inputs &amp; Outputs'!B$16*'Benefit Calculations'!G24*('Benefit Calculations'!C$4-'Benefit Calculations'!C$5)</f>
        <v>29.64070363658589</v>
      </c>
      <c r="K24" s="89">
        <f t="shared" si="3"/>
        <v>8.4950604789241543E-3</v>
      </c>
      <c r="L24" s="72">
        <f>K24*'Assumed Values'!$C$8</f>
        <v>63.780914075762553</v>
      </c>
      <c r="M24" s="73">
        <f t="shared" si="0"/>
        <v>16.482200214015602</v>
      </c>
      <c r="N24" s="88">
        <f>I24*'Inputs &amp; Outputs'!B$16*'Benefit Calculations'!G24*('Benefit Calculations'!D$4-'Benefit Calculations'!D$5)</f>
        <v>20.461413370033455</v>
      </c>
      <c r="O24" s="89">
        <f t="shared" si="4"/>
        <v>5.8642651063165775E-3</v>
      </c>
      <c r="P24" s="72">
        <f>ABS(O24*'Assumed Values'!$C$7)</f>
        <v>11.171425027533081</v>
      </c>
      <c r="Q24" s="73">
        <f t="shared" si="1"/>
        <v>2.8869085156249943</v>
      </c>
      <c r="T24" s="85">
        <f t="shared" si="5"/>
        <v>7.7065829455123316E-3</v>
      </c>
      <c r="U24" s="86">
        <f>T24*'Assumed Values'!$D$8</f>
        <v>0</v>
      </c>
    </row>
    <row r="25" spans="2:21" x14ac:dyDescent="0.25">
      <c r="F25" s="70">
        <f t="shared" si="2"/>
        <v>2039</v>
      </c>
      <c r="G25" s="80">
        <f t="shared" si="6"/>
        <v>8437.7554105547551</v>
      </c>
      <c r="H25" s="79">
        <f t="shared" si="8"/>
        <v>1.5739799289034018E-3</v>
      </c>
      <c r="I25" s="70">
        <f>IF(AND(F25&gt;='Inputs &amp; Outputs'!B$13,F25&lt;'Inputs &amp; Outputs'!B$13+'Inputs &amp; Outputs'!B$19),1,0)</f>
        <v>1</v>
      </c>
      <c r="J25" s="71">
        <f>I25*'Inputs &amp; Outputs'!B$16*'Benefit Calculations'!G25*('Benefit Calculations'!C$4-'Benefit Calculations'!C$5)</f>
        <v>29.687357509188452</v>
      </c>
      <c r="K25" s="89">
        <f t="shared" si="3"/>
        <v>8.5084315336128036E-3</v>
      </c>
      <c r="L25" s="72">
        <f>K25*'Assumed Values'!$C$8</f>
        <v>63.881303954364931</v>
      </c>
      <c r="M25" s="73">
        <f t="shared" si="0"/>
        <v>15.428170903118348</v>
      </c>
      <c r="N25" s="88">
        <f>I25*'Inputs &amp; Outputs'!B$16*'Benefit Calculations'!G25*('Benefit Calculations'!D$4-'Benefit Calculations'!D$5)</f>
        <v>20.493619223994884</v>
      </c>
      <c r="O25" s="89">
        <f t="shared" si="4"/>
        <v>5.873495341891688E-3</v>
      </c>
      <c r="P25" s="72">
        <f>ABS(O25*'Assumed Values'!$C$7)</f>
        <v>11.189008626303666</v>
      </c>
      <c r="Q25" s="73">
        <f t="shared" si="1"/>
        <v>2.702292010920718</v>
      </c>
      <c r="T25" s="85">
        <f t="shared" si="5"/>
        <v>7.7187129523889975E-3</v>
      </c>
      <c r="U25" s="86">
        <f>T25*'Assumed Values'!$D$8</f>
        <v>0</v>
      </c>
    </row>
    <row r="26" spans="2:21" x14ac:dyDescent="0.25">
      <c r="F26" s="70">
        <f t="shared" si="2"/>
        <v>2040</v>
      </c>
      <c r="G26" s="80">
        <f t="shared" si="6"/>
        <v>8451.0362682159648</v>
      </c>
      <c r="H26" s="79">
        <f t="shared" si="8"/>
        <v>1.5739799289034018E-3</v>
      </c>
      <c r="I26" s="70">
        <f>IF(AND(F26&gt;='Inputs &amp; Outputs'!B$13,F26&lt;'Inputs &amp; Outputs'!B$13+'Inputs &amp; Outputs'!B$19),1,0)</f>
        <v>1</v>
      </c>
      <c r="J26" s="71">
        <f>I26*'Inputs &amp; Outputs'!B$16*'Benefit Calculations'!G26*('Benefit Calculations'!C$4-'Benefit Calculations'!C$5)</f>
        <v>29.734084814050096</v>
      </c>
      <c r="K26" s="89">
        <f t="shared" si="3"/>
        <v>8.5218236340731598E-3</v>
      </c>
      <c r="L26" s="72">
        <f>K26*'Assumed Values'!$C$8</f>
        <v>63.981851844621282</v>
      </c>
      <c r="M26" s="73">
        <f t="shared" si="0"/>
        <v>14.441546293887429</v>
      </c>
      <c r="N26" s="88">
        <f>I26*'Inputs &amp; Outputs'!B$16*'Benefit Calculations'!G26*('Benefit Calculations'!D$4-'Benefit Calculations'!D$5)</f>
        <v>20.525875769324042</v>
      </c>
      <c r="O26" s="89">
        <f t="shared" si="4"/>
        <v>5.8827401056723346E-3</v>
      </c>
      <c r="P26" s="72">
        <f>ABS(O26*'Assumed Values'!$C$7)</f>
        <v>11.206619901305798</v>
      </c>
      <c r="Q26" s="73">
        <f t="shared" si="1"/>
        <v>2.5294816488859286</v>
      </c>
      <c r="T26" s="85">
        <f t="shared" si="5"/>
        <v>7.7308620516530245E-3</v>
      </c>
      <c r="U26" s="86">
        <f>T26*'Assumed Values'!$D$8</f>
        <v>0</v>
      </c>
    </row>
    <row r="27" spans="2:21" x14ac:dyDescent="0.25">
      <c r="F27" s="70">
        <f t="shared" si="2"/>
        <v>2041</v>
      </c>
      <c r="G27" s="80">
        <f t="shared" si="6"/>
        <v>8464.3380296805717</v>
      </c>
      <c r="H27" s="79">
        <f t="shared" si="8"/>
        <v>1.5739799289034018E-3</v>
      </c>
      <c r="I27" s="70">
        <f>IF(AND(F27&gt;='Inputs &amp; Outputs'!B$13,F27&lt;'Inputs &amp; Outputs'!B$13+'Inputs &amp; Outputs'!B$19),1,0)</f>
        <v>1</v>
      </c>
      <c r="J27" s="71">
        <f>I27*'Inputs &amp; Outputs'!B$16*'Benefit Calculations'!G27*('Benefit Calculations'!C$4-'Benefit Calculations'!C$5)</f>
        <v>29.780885666751725</v>
      </c>
      <c r="K27" s="89">
        <f t="shared" si="3"/>
        <v>8.5352368134308469E-3</v>
      </c>
      <c r="L27" s="72">
        <f>K27*'Assumed Values'!$C$8</f>
        <v>64.082557995238801</v>
      </c>
      <c r="M27" s="73">
        <f t="shared" si="0"/>
        <v>13.518015885884429</v>
      </c>
      <c r="N27" s="88">
        <f>I27*'Inputs &amp; Outputs'!B$16*'Benefit Calculations'!G27*('Benefit Calculations'!D$4-'Benefit Calculations'!D$5)</f>
        <v>20.558183085808125</v>
      </c>
      <c r="O27" s="89">
        <f t="shared" si="4"/>
        <v>5.891999420525618E-3</v>
      </c>
      <c r="P27" s="72">
        <f>ABS(O27*'Assumed Values'!$C$7)</f>
        <v>11.224258896101302</v>
      </c>
      <c r="Q27" s="73">
        <f t="shared" si="1"/>
        <v>2.3677224319923407</v>
      </c>
      <c r="T27" s="85">
        <f t="shared" si="5"/>
        <v>7.7430302733554491E-3</v>
      </c>
      <c r="U27" s="86">
        <f>T27*'Assumed Values'!$D$8</f>
        <v>0</v>
      </c>
    </row>
    <row r="28" spans="2:21" x14ac:dyDescent="0.25">
      <c r="F28" s="70">
        <f t="shared" si="2"/>
        <v>2042</v>
      </c>
      <c r="G28" s="80">
        <f t="shared" si="6"/>
        <v>8477.6607278507436</v>
      </c>
      <c r="H28" s="79">
        <f t="shared" si="8"/>
        <v>1.5739799289034018E-3</v>
      </c>
      <c r="I28" s="70">
        <f>IF(AND(F28&gt;='Inputs &amp; Outputs'!B$13,F28&lt;'Inputs &amp; Outputs'!B$13+'Inputs &amp; Outputs'!B$19),1,0)</f>
        <v>1</v>
      </c>
      <c r="J28" s="71">
        <f>I28*'Inputs &amp; Outputs'!B$16*'Benefit Calculations'!G28*('Benefit Calculations'!C$4-'Benefit Calculations'!C$5)</f>
        <v>29.82776018305616</v>
      </c>
      <c r="K28" s="89">
        <f t="shared" si="3"/>
        <v>8.5486711048636237E-3</v>
      </c>
      <c r="L28" s="72">
        <f>K28*'Assumed Values'!$C$8</f>
        <v>64.183422655316093</v>
      </c>
      <c r="M28" s="73">
        <f t="shared" si="0"/>
        <v>12.653544833240568</v>
      </c>
      <c r="N28" s="88">
        <f>I28*'Inputs &amp; Outputs'!B$16*'Benefit Calculations'!G28*('Benefit Calculations'!D$4-'Benefit Calculations'!D$5)</f>
        <v>20.590541253359909</v>
      </c>
      <c r="O28" s="89">
        <f t="shared" si="4"/>
        <v>5.9012733093546368E-3</v>
      </c>
      <c r="P28" s="72">
        <f>ABS(O28*'Assumed Values'!$C$7)</f>
        <v>11.241925654320584</v>
      </c>
      <c r="Q28" s="73">
        <f t="shared" si="1"/>
        <v>2.2163076444649641</v>
      </c>
      <c r="T28" s="85">
        <f t="shared" si="5"/>
        <v>7.7552176475946021E-3</v>
      </c>
      <c r="U28" s="86">
        <f>T28*'Assumed Values'!$D$8</f>
        <v>0</v>
      </c>
    </row>
    <row r="29" spans="2:21" x14ac:dyDescent="0.25">
      <c r="F29" s="70">
        <f t="shared" si="2"/>
        <v>2043</v>
      </c>
      <c r="G29" s="80">
        <f t="shared" si="6"/>
        <v>8491.0043956804329</v>
      </c>
      <c r="H29" s="79">
        <f t="shared" si="8"/>
        <v>1.5739799289034018E-3</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8504.3690661754645</v>
      </c>
      <c r="H30" s="79">
        <f t="shared" si="8"/>
        <v>1.5739799289034018E-3</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8585</v>
      </c>
      <c r="H31" s="79">
        <f t="shared" si="8"/>
        <v>1.5739799289034018E-3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8598.5126176896356</v>
      </c>
      <c r="H32" s="79">
        <f t="shared" si="8"/>
        <v>1.5739799289034018E-3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8612.0465039683022</v>
      </c>
      <c r="H33" s="79">
        <f t="shared" si="8"/>
        <v>1.5739799289034018E-3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8625.6016923123316</v>
      </c>
      <c r="H34" s="79">
        <f t="shared" si="8"/>
        <v>1.5739799289034018E-3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8639.1782162507461</v>
      </c>
      <c r="H35" s="79">
        <f t="shared" si="8"/>
        <v>1.5739799289034018E-3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8652.7761093653444</v>
      </c>
      <c r="H36" s="79">
        <f t="shared" si="8"/>
        <v>1.5739799289034018E-3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586.22805753318005</v>
      </c>
      <c r="K37" s="71">
        <f t="shared" ref="K37:Q37" si="9">SUM(K4:K36)</f>
        <v>0.1680136498864914</v>
      </c>
      <c r="L37" s="74">
        <f t="shared" si="9"/>
        <v>1261.4464833477773</v>
      </c>
      <c r="M37" s="75">
        <f t="shared" si="9"/>
        <v>507.05508808834992</v>
      </c>
      <c r="N37" s="88">
        <f t="shared" si="9"/>
        <v>404.68184430994768</v>
      </c>
      <c r="O37" s="88">
        <f t="shared" si="9"/>
        <v>0.11598229192819361</v>
      </c>
      <c r="P37" s="76">
        <f t="shared" si="9"/>
        <v>220.9462661232088</v>
      </c>
      <c r="Q37" s="75">
        <f t="shared" si="9"/>
        <v>88.812272189757834</v>
      </c>
      <c r="T37" s="85">
        <f>SUM(T4:T36)</f>
        <v>0.1524192949586268</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Evan J. Shields</cp:lastModifiedBy>
  <cp:lastPrinted>2018-04-10T17:15:43Z</cp:lastPrinted>
  <dcterms:created xsi:type="dcterms:W3CDTF">2012-07-25T15:48:32Z</dcterms:created>
  <dcterms:modified xsi:type="dcterms:W3CDTF">2018-10-16T20:40:53Z</dcterms:modified>
</cp:coreProperties>
</file>