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Y:\City_of_Mont_Belvieu\6228-00_HGAC_TIP_Application_Support\04_ENGR\03_Documents\3. Langston Blvd\"/>
    </mc:Choice>
  </mc:AlternateContent>
  <xr:revisionPtr revIDLastSave="0" documentId="13_ncr:1_{92B4F29D-055E-41E1-AEF2-D66E51E8BF56}" xr6:coauthVersionLast="36" xr6:coauthVersionMax="36" xr10:uidLastSave="{00000000-0000-0000-0000-000000000000}"/>
  <bookViews>
    <workbookView xWindow="0" yWindow="0" windowWidth="28800" windowHeight="140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<sst xmlns="http://schemas.openxmlformats.org/spreadsheetml/2006/main" count="262" uniqueCount="130">
  <si>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</si>
  <si>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</si>
  <si>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</si>
  <si>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</si>
  <si>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</si>
  <si>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</si>
  <si>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</si>
  <si>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</si>
  <si>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</si>
  <si>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</si>
  <si>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</si>
  <si>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</si>
  <si>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</si>
  <si>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</si>
  <si>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</si>
  <si>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</si>
  <si>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</si>
  <si>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</si>
  <si>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</si>
  <si>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</si>
  <si>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</si>
  <si>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</si>
  <si>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</si>
  <si>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</si>
  <si>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</si>
  <si>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</si>
  <si>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</si>
  <si>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</si>
  <si>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</si>
  <si>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</si>
  <si>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</si>
  <si>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</si>
  <si>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</si>
  <si>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</si>
  <si>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</si>
  <si>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</si>
  <si>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</si>
  <si>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</si>
  <si>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</si>
  <si>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</si>
  <si>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</si>
  <si>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</si>
  <si>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</si>
  <si>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</si>
  <si>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</si>
  <si>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</si>
  <si>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</si>
  <si>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</si>
  <si>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</si>
  <si>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</si>
  <si>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</si>
  <si>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</si>
  <si>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</si>
  <si>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</si>
  <si>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</si>
  <si>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</si>
  <si>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</si>
  <si>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</si>
  <si>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</si>
  <si>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</si>
  <si>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</si>
  <si>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</si>
  <si>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</si>
  <si>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</si>
  <si>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</si>
  <si>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</si>
  <si>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</si>
  <si>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</si>
  <si>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</si>
  <si>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</si>
  <si>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</si>
  <si>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</si>
  <si>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</si>
  <si>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</si>
  <si>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</si>
  <si>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</si>
  <si>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</si>
  <si>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</si>
  <si>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</si>
  <si>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</si>
  <si>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</si>
  <si>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</si>
  <si>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</si>
  <si>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</si>
  <si>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</si>
  <si>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</si>
  <si>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</si>
  <si>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</si>
  <si>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</si>
  <si>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</si>
  <si>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</si>
  <si>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</si>
  <si>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</si>
  <si>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</si>
  <si>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</si>
  <si>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</si>
  <si>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</si>
  <si>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</si>
  <si>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</si>
  <si>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</si>
  <si>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</si>
  <si>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</si>
  <si>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</si>
  <si>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</si>
  <si>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</si>
  <si>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</si>
  <si>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</si>
  <si>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</si>
  <si>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</si>
  <si>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</si>
  <si>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</si>
  <si>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</si>
  <si>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</si>
  <si>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</si>
  <si>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</si>
  <si>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</si>
  <si>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</si>
  <si>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</si>
  <si>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</si>
  <si>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</si>
  <si>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</si>
  <si>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</si>
  <si>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</si>
  <si>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</si>
  <si>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</si>
  <si>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</si>
  <si>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</si>
  <si>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</si>
  <si>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</si>
  <si>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Langston Blvd 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</si>
</sst>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selection activeCell="E26" sqref="E26"/>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c r="D7" s="98"/>
      <c r="E7" s="99" t="s">
        <v>127</v>
      </c>
    </row>
    <row r="8" spans="1:5" x14ac:dyDescent="0.25">
      <c r="A8" s="6" t="s">
        <v>52</v>
      </c>
      <c r="B8" s="6"/>
      <c r="D8" s="103"/>
      <c r="E8" s="99" t="s">
        <v>92</v>
      </c>
    </row>
    <row r="9" spans="1:5" x14ac:dyDescent="0.25">
      <c r="A9" s="6" t="s">
        <v>64</v>
      </c>
      <c r="B9" s="104" t="s">
        <v>68</v>
      </c>
      <c r="D9" s="105"/>
      <c r="E9" s="99" t="s">
        <v>93</v>
      </c>
    </row>
    <row r="11" spans="1:5" x14ac:dyDescent="0.25">
      <c r="A11" s="63"/>
      <c r="B11" s="63"/>
    </row>
    <row r="12" spans="1:5" x14ac:dyDescent="0.25">
      <c r="A12" s="102" t="s">
        <v>85</v>
      </c>
      <c r="B12" s="63"/>
    </row>
    <row r="13" spans="1:5" x14ac:dyDescent="0.25">
      <c r="A13" s="6" t="s">
        <v>56</v>
      </c>
      <c r="B13" s="45">
        <v>2024</v>
      </c>
    </row>
    <row r="14" spans="1:5" x14ac:dyDescent="0.25">
      <c r="A14" s="6" t="s">
        <v>86</v>
      </c>
      <c r="B14" s="6" t="s">
        <v>121</v>
      </c>
    </row>
    <row r="15" spans="1:5" x14ac:dyDescent="0.25">
      <c r="A15" s="106" t="s">
        <v>87</v>
      </c>
      <c r="B15" s="57" t="s">
        <v>76</v>
      </c>
    </row>
    <row r="16" spans="1:5" x14ac:dyDescent="0.25">
      <c r="A16" s="106" t="s">
        <v>88</v>
      </c>
      <c r="B16" s="57">
        <v>0.95</v>
      </c>
    </row>
    <row r="17" spans="1:3" x14ac:dyDescent="0.25">
      <c r="A17" s="107" t="s">
        <v>95</v>
      </c>
      <c r="B17" s="57">
        <v>20</v>
      </c>
    </row>
    <row r="18" spans="1:3" x14ac:dyDescent="0.25">
      <c r="A18" s="107" t="s">
        <v>96</v>
      </c>
      <c r="B18" s="57">
        <v>35</v>
      </c>
    </row>
    <row r="19" spans="1:3" x14ac:dyDescent="0.25">
      <c r="A19" s="96" t="s">
        <v>97</v>
      </c>
      <c r="B19" s="97">
        <f>VLOOKUP(B14,'Service Life'!C6:D8,2,FALSE)</f>
        <v>20</v>
      </c>
    </row>
    <row r="21" spans="1:3" x14ac:dyDescent="0.25">
      <c r="A21" s="102" t="s">
        <v>89</v>
      </c>
    </row>
    <row r="22" spans="1:3" ht="20.25" customHeight="1" x14ac:dyDescent="0.25">
      <c r="A22" s="107" t="s">
        <v>90</v>
      </c>
      <c r="B22" s="119">
        <v>8435</v>
      </c>
    </row>
    <row r="23" spans="1:3" ht="30" x14ac:dyDescent="0.25">
      <c r="A23" s="118" t="s">
        <v>101</v>
      </c>
      <c r="B23" s="120">
        <v>10544</v>
      </c>
    </row>
    <row r="24" spans="1:3" ht="30" x14ac:dyDescent="0.25">
      <c r="A24" s="118" t="s">
        <v>102</v>
      </c>
      <c r="B24" s="120">
        <v>18550</v>
      </c>
    </row>
    <row r="27" spans="1:3" ht="18.75" x14ac:dyDescent="0.3">
      <c r="A27" s="100" t="s">
        <v>55</v>
      </c>
      <c r="B27" s="101"/>
    </row>
    <row r="29" spans="1:3" x14ac:dyDescent="0.25">
      <c r="A29" s="108" t="s">
        <v>53</v>
      </c>
    </row>
    <row r="30" spans="1:3" x14ac:dyDescent="0.25">
      <c r="A30" s="105" t="s">
        <v>112</v>
      </c>
      <c r="B30" s="114">
        <f>'Benefit Calculations'!M37</f>
        <v>2482.9513562481907</v>
      </c>
    </row>
    <row r="31" spans="1:3" x14ac:dyDescent="0.25">
      <c r="A31" s="105" t="s">
        <v>113</v>
      </c>
      <c r="B31" s="114">
        <f>'Benefit Calculations'!Q37</f>
        <v>273.00879251853132</v>
      </c>
      <c r="C31" s="109"/>
    </row>
    <row r="32" spans="1:3" x14ac:dyDescent="0.25">
      <c r="A32" s="110"/>
      <c r="B32" s="111"/>
      <c r="C32" s="109"/>
    </row>
    <row r="33" spans="1:9" x14ac:dyDescent="0.25">
      <c r="A33" s="108" t="s">
        <v>94</v>
      </c>
      <c r="B33" s="111"/>
      <c r="C33" s="109"/>
    </row>
    <row r="34" spans="1:9" x14ac:dyDescent="0.25">
      <c r="A34" s="105" t="s">
        <v>114</v>
      </c>
      <c r="B34" s="114">
        <f>$B$30+$B$31</f>
        <v>2755.9601487667219</v>
      </c>
      <c r="C34" s="109"/>
    </row>
    <row r="35" spans="1:9" x14ac:dyDescent="0.25">
      <c r="I35" s="112"/>
    </row>
    <row r="36" spans="1:9" x14ac:dyDescent="0.25">
      <c r="A36" s="108" t="s">
        <v>107</v>
      </c>
    </row>
    <row r="37" spans="1:9" x14ac:dyDescent="0.25">
      <c r="A37" s="105" t="s">
        <v>116</v>
      </c>
      <c r="B37" s="115">
        <f>'Benefit Calculations'!K37</f>
        <v>0.92076151233828185</v>
      </c>
    </row>
    <row r="38" spans="1:9" x14ac:dyDescent="0.25">
      <c r="A38" s="105" t="s">
        <v>117</v>
      </c>
      <c r="B38" s="115">
        <f>'Benefit Calculations'!O37</f>
        <v>0.39901099611923446</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3" fitToHeight="0"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8.1144198775300005E-2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2.1176399663100001E-2</v>
      </c>
      <c r="F4" s="70">
        <v>2018</v>
      </c>
      <c r="G4" s="80">
        <f>'Inputs &amp; Outputs'!B22</f>
        <v>8435</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6.8016901612299993E-2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1.5487699769399999E-2</v>
      </c>
      <c r="F5" s="70">
        <f t="shared" ref="F5:F36" si="2">F4+1</f>
        <v>2019</v>
      </c>
      <c r="G5" s="80">
        <f>G4+G4*H5</f>
        <v>8708.2491396201203</v>
      </c>
      <c r="H5" s="79">
        <f>$C$9</f>
        <v>3.2394681638425737E-2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8990.3500981262096</v>
      </c>
      <c r="H6" s="79">
        <f t="shared" ref="H6:H11" si="7">$C$9</f>
        <v>3.2394681638425737E-2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9281.5896273729977</v>
      </c>
      <c r="H7" s="79">
        <f t="shared" si="7"/>
        <v>3.2394681638425737E-2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9582.2637684502606</v>
      </c>
      <c r="H8" s="79">
        <f t="shared" si="7"/>
        <v>3.2394681638425737E-2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3.2394681638425737E-2</v>
      </c>
      <c r="F9" s="70">
        <f t="shared" si="2"/>
        <v>2023</v>
      </c>
      <c r="G9" s="80">
        <f t="shared" si="6"/>
        <v>9892.6781526046288</v>
      </c>
      <c r="H9" s="79">
        <f t="shared" si="7"/>
        <v>3.2394681638425737E-2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2.2853747523771561E-2</v>
      </c>
      <c r="F10" s="70">
        <f t="shared" si="2"/>
        <v>2024</v>
      </c>
      <c r="G10" s="80">
        <f t="shared" si="6"/>
        <v>10213.148311909665</v>
      </c>
      <c r="H10" s="79">
        <f t="shared" si="7"/>
        <v>3.2394681638425737E-2</v>
      </c>
      <c r="I10" s="70">
        <f>IF(AND(F10&gt;='Inputs &amp; Outputs'!B$13,F10&lt;'Inputs &amp; Outputs'!B$13+'Inputs &amp; Outputs'!B$19),1,0)</f>
        <v>1</v>
      </c>
      <c r="J10" s="71">
        <f>I10*'Inputs &amp; Outputs'!B$16*'Benefit Calculations'!G10*('Benefit Calculations'!C$4-'Benefit Calculations'!C$5)</f>
        <v>127.3674812172186</v>
      </c>
      <c r="K10" s="89">
        <f t="shared" si="3"/>
        <v>3.6503669725741233E-2</v>
      </c>
      <c r="L10" s="72">
        <f>K10*'Assumed Values'!$C$8</f>
        <v>274.06955230086515</v>
      </c>
      <c r="M10" s="73">
        <f t="shared" si="0"/>
        <v>182.62411496055446</v>
      </c>
      <c r="N10" s="88">
        <f>I10*'Inputs &amp; Outputs'!B$16*'Benefit Calculations'!G10*('Benefit Calculations'!D$4-'Benefit Calculations'!D$5)</f>
        <v>55.194558930487709</v>
      </c>
      <c r="O10" s="89">
        <f t="shared" si="4"/>
        <v>1.5818825422325353E-2</v>
      </c>
      <c r="P10" s="72">
        <f>ABS(O10*'Assumed Values'!$C$7)</f>
        <v>30.134862429529797</v>
      </c>
      <c r="Q10" s="73">
        <f t="shared" si="1"/>
        <v>20.080131245697558</v>
      </c>
      <c r="T10" s="85">
        <f t="shared" si="5"/>
        <v>3.3115545116476838E-2</v>
      </c>
      <c r="U10" s="86">
        <f>T10*'Assumed Values'!$D$8</f>
        <v>0</v>
      </c>
    </row>
    <row r="11" spans="2:21" x14ac:dyDescent="0.25">
      <c r="B11" s="16" t="s">
        <v>106</v>
      </c>
      <c r="C11" s="67">
        <f>('Inputs &amp; Outputs'!B24/'Inputs &amp; Outputs'!B22)^(1/(2045-2018))-1</f>
        <v>2.9618299813956028E-2</v>
      </c>
      <c r="F11" s="70">
        <f t="shared" si="2"/>
        <v>2025</v>
      </c>
      <c r="G11" s="80">
        <f>'Inputs &amp; Outputs'!$B$23</f>
        <v>10544</v>
      </c>
      <c r="H11" s="79">
        <f t="shared" si="7"/>
        <v>3.2394681638425737E-2</v>
      </c>
      <c r="I11" s="70">
        <f>IF(AND(F11&gt;='Inputs &amp; Outputs'!B$13,F11&lt;'Inputs &amp; Outputs'!B$13+'Inputs &amp; Outputs'!B$19),1,0)</f>
        <v>1</v>
      </c>
      <c r="J11" s="71">
        <f>I11*'Inputs &amp; Outputs'!B$16*'Benefit Calculations'!G11*('Benefit Calculations'!C$4-'Benefit Calculations'!C$5)</f>
        <v>131.4935102223385</v>
      </c>
      <c r="K11" s="89">
        <f t="shared" si="3"/>
        <v>3.7686194485140836E-2</v>
      </c>
      <c r="L11" s="72">
        <f>K11*'Assumed Values'!$C$8</f>
        <v>282.9479481944374</v>
      </c>
      <c r="M11" s="73">
        <f t="shared" si="0"/>
        <v>176.20576170486055</v>
      </c>
      <c r="N11" s="88">
        <f>I11*'Inputs &amp; Outputs'!B$16*'Benefit Calculations'!G11*('Benefit Calculations'!D$4-'Benefit Calculations'!D$5)</f>
        <v>56.982569095214167</v>
      </c>
      <c r="O11" s="89">
        <f t="shared" si="4"/>
        <v>1.6331271235775414E-2</v>
      </c>
      <c r="P11" s="72">
        <f>ABS(O11*'Assumed Values'!$C$7)</f>
        <v>31.111071704152163</v>
      </c>
      <c r="Q11" s="73">
        <f t="shared" si="1"/>
        <v>19.374411873513765</v>
      </c>
      <c r="T11" s="85">
        <f t="shared" si="5"/>
        <v>3.4188312657808015E-2</v>
      </c>
      <c r="U11" s="86">
        <f>T11*'Assumed Values'!$D$8</f>
        <v>0</v>
      </c>
    </row>
    <row r="12" spans="2:21" x14ac:dyDescent="0.25">
      <c r="B12" s="27"/>
      <c r="C12" s="68"/>
      <c r="F12" s="70">
        <f t="shared" si="2"/>
        <v>2026</v>
      </c>
      <c r="G12" s="80">
        <f t="shared" si="6"/>
        <v>10784.969913890647</v>
      </c>
      <c r="H12" s="79">
        <f>$C$10</f>
        <v>2.2853747523771561E-2</v>
      </c>
      <c r="I12" s="70">
        <f>IF(AND(F12&gt;='Inputs &amp; Outputs'!B$13,F12&lt;'Inputs &amp; Outputs'!B$13+'Inputs &amp; Outputs'!B$19),1,0)</f>
        <v>1</v>
      </c>
      <c r="J12" s="71">
        <f>I12*'Inputs &amp; Outputs'!B$16*'Benefit Calculations'!G12*('Benefit Calculations'!C$4-'Benefit Calculations'!C$5)</f>
        <v>134.49862970597431</v>
      </c>
      <c r="K12" s="89">
        <f t="shared" si="3"/>
        <v>3.8547465259036004E-2</v>
      </c>
      <c r="L12" s="72">
        <f>K12*'Assumed Values'!$C$8</f>
        <v>289.4143691648423</v>
      </c>
      <c r="M12" s="73">
        <f t="shared" si="0"/>
        <v>168.44179784588533</v>
      </c>
      <c r="N12" s="88">
        <f>I12*'Inputs &amp; Outputs'!B$16*'Benefit Calculations'!G12*('Benefit Calculations'!D$4-'Benefit Calculations'!D$5)</f>
        <v>58.284834342572061</v>
      </c>
      <c r="O12" s="89">
        <f t="shared" si="4"/>
        <v>1.6704501985340056E-2</v>
      </c>
      <c r="P12" s="72">
        <f>ABS(O12*'Assumed Values'!$C$7)</f>
        <v>31.822076282072807</v>
      </c>
      <c r="Q12" s="73">
        <f t="shared" si="1"/>
        <v>18.520738122329544</v>
      </c>
      <c r="T12" s="85">
        <f t="shared" si="5"/>
        <v>3.4969643723553323E-2</v>
      </c>
      <c r="U12" s="86">
        <f>T12*'Assumed Values'!$D$8</f>
        <v>0</v>
      </c>
    </row>
    <row r="13" spans="2:21" x14ac:dyDescent="0.25">
      <c r="B13" s="27"/>
      <c r="C13" s="68"/>
      <c r="F13" s="70">
        <f t="shared" si="2"/>
        <v>2027</v>
      </c>
      <c r="G13" s="80">
        <f t="shared" si="6"/>
        <v>11031.446893354176</v>
      </c>
      <c r="H13" s="79">
        <f t="shared" ref="H13:H36" si="8">$C$10</f>
        <v>2.2853747523771561E-2</v>
      </c>
      <c r="I13" s="70">
        <f>IF(AND(F13&gt;='Inputs &amp; Outputs'!B$13,F13&lt;'Inputs &amp; Outputs'!B$13+'Inputs &amp; Outputs'!B$19),1,0)</f>
        <v>1</v>
      </c>
      <c r="J13" s="71">
        <f>I13*'Inputs &amp; Outputs'!B$16*'Benefit Calculations'!G13*('Benefit Calculations'!C$4-'Benefit Calculations'!C$5)</f>
        <v>137.57242743156789</v>
      </c>
      <c r="K13" s="89">
        <f t="shared" si="3"/>
        <v>3.9428419297747368E-2</v>
      </c>
      <c r="L13" s="72">
        <f>K13*'Assumed Values'!$C$8</f>
        <v>296.02857208748725</v>
      </c>
      <c r="M13" s="73">
        <f t="shared" si="0"/>
        <v>161.0199291273882</v>
      </c>
      <c r="N13" s="88">
        <f>I13*'Inputs &amp; Outputs'!B$16*'Benefit Calculations'!G13*('Benefit Calculations'!D$4-'Benefit Calculations'!D$5)</f>
        <v>59.61686123110205</v>
      </c>
      <c r="O13" s="89">
        <f t="shared" si="4"/>
        <v>1.7086262456223359E-2</v>
      </c>
      <c r="P13" s="72">
        <f>ABS(O13*'Assumed Values'!$C$7)</f>
        <v>32.549329979105501</v>
      </c>
      <c r="Q13" s="73">
        <f t="shared" si="1"/>
        <v>17.704678874141262</v>
      </c>
      <c r="T13" s="85">
        <f t="shared" si="5"/>
        <v>3.5768831132207649E-2</v>
      </c>
      <c r="U13" s="86">
        <f>T13*'Assumed Values'!$D$8</f>
        <v>0</v>
      </c>
    </row>
    <row r="14" spans="2:21" x14ac:dyDescent="0.25">
      <c r="B14" s="27"/>
      <c r="C14" s="68"/>
      <c r="F14" s="70">
        <f t="shared" si="2"/>
        <v>2028</v>
      </c>
      <c r="G14" s="80">
        <f t="shared" si="6"/>
        <v>11283.556795476787</v>
      </c>
      <c r="H14" s="79">
        <f t="shared" si="8"/>
        <v>2.2853747523771561E-2</v>
      </c>
      <c r="I14" s="70">
        <f>IF(AND(F14&gt;='Inputs &amp; Outputs'!B$13,F14&lt;'Inputs &amp; Outputs'!B$13+'Inputs &amp; Outputs'!B$19),1,0)</f>
        <v>1</v>
      </c>
      <c r="J14" s="71">
        <f>I14*'Inputs &amp; Outputs'!B$16*'Benefit Calculations'!G14*('Benefit Calculations'!C$4-'Benefit Calculations'!C$5)</f>
        <v>140.71647295432132</v>
      </c>
      <c r="K14" s="89">
        <f t="shared" si="3"/>
        <v>4.0329506437639488E-2</v>
      </c>
      <c r="L14" s="72">
        <f>K14*'Assumed Values'!$C$8</f>
        <v>302.79393433379727</v>
      </c>
      <c r="M14" s="73">
        <f t="shared" si="0"/>
        <v>153.92508218127207</v>
      </c>
      <c r="N14" s="88">
        <f>I14*'Inputs &amp; Outputs'!B$16*'Benefit Calculations'!G14*('Benefit Calculations'!D$4-'Benefit Calculations'!D$5)</f>
        <v>60.979329925837384</v>
      </c>
      <c r="O14" s="89">
        <f t="shared" si="4"/>
        <v>1.7476747584522785E-2</v>
      </c>
      <c r="P14" s="72">
        <f>ABS(O14*'Assumed Values'!$C$7)</f>
        <v>33.293204148515905</v>
      </c>
      <c r="Q14" s="73">
        <f t="shared" si="1"/>
        <v>16.924576761794711</v>
      </c>
      <c r="T14" s="85">
        <f t="shared" si="5"/>
        <v>3.6586282968123544E-2</v>
      </c>
      <c r="U14" s="86">
        <f>T14*'Assumed Values'!$D$8</f>
        <v>0</v>
      </c>
    </row>
    <row r="15" spans="2:21" x14ac:dyDescent="0.25">
      <c r="B15" s="27"/>
      <c r="C15" s="69"/>
      <c r="F15" s="70">
        <f t="shared" si="2"/>
        <v>2029</v>
      </c>
      <c r="G15" s="80">
        <f t="shared" si="6"/>
        <v>11541.42835365075</v>
      </c>
      <c r="H15" s="79">
        <f t="shared" si="8"/>
        <v>2.2853747523771561E-2</v>
      </c>
      <c r="I15" s="70">
        <f>IF(AND(F15&gt;='Inputs &amp; Outputs'!B$13,F15&lt;'Inputs &amp; Outputs'!B$13+'Inputs &amp; Outputs'!B$19),1,0)</f>
        <v>1</v>
      </c>
      <c r="J15" s="71">
        <f>I15*'Inputs &amp; Outputs'!B$16*'Benefit Calculations'!G15*('Benefit Calculations'!C$4-'Benefit Calculations'!C$5)</f>
        <v>143.93237169965502</v>
      </c>
      <c r="K15" s="89">
        <f t="shared" si="3"/>
        <v>4.1251186795523628E-2</v>
      </c>
      <c r="L15" s="72">
        <f>K15*'Assumed Values'!$C$8</f>
        <v>309.7139104607914</v>
      </c>
      <c r="M15" s="73">
        <f t="shared" si="0"/>
        <v>147.14284780095201</v>
      </c>
      <c r="N15" s="88">
        <f>I15*'Inputs &amp; Outputs'!B$16*'Benefit Calculations'!G15*('Benefit Calculations'!D$4-'Benefit Calculations'!D$5)</f>
        <v>62.372936136131237</v>
      </c>
      <c r="O15" s="89">
        <f t="shared" si="4"/>
        <v>1.7876156761356156E-2</v>
      </c>
      <c r="P15" s="72">
        <f>ABS(O15*'Assumed Values'!$C$7)</f>
        <v>34.054078630383479</v>
      </c>
      <c r="Q15" s="73">
        <f t="shared" si="1"/>
        <v>16.178847444911643</v>
      </c>
      <c r="T15" s="85">
        <f t="shared" si="5"/>
        <v>3.7422416641910303E-2</v>
      </c>
      <c r="U15" s="86">
        <f>T15*'Assumed Values'!$D$8</f>
        <v>0</v>
      </c>
    </row>
    <row r="16" spans="2:21" x14ac:dyDescent="0.25">
      <c r="B16" s="27"/>
      <c r="C16" s="69"/>
      <c r="F16" s="70">
        <f t="shared" si="2"/>
        <v>2030</v>
      </c>
      <c r="G16" s="80">
        <f t="shared" si="6"/>
        <v>11805.193243308782</v>
      </c>
      <c r="H16" s="79">
        <f t="shared" si="8"/>
        <v>2.2853747523771561E-2</v>
      </c>
      <c r="I16" s="70">
        <f>IF(AND(F16&gt;='Inputs &amp; Outputs'!B$13,F16&lt;'Inputs &amp; Outputs'!B$13+'Inputs &amp; Outputs'!B$19),1,0)</f>
        <v>1</v>
      </c>
      <c r="J16" s="71">
        <f>I16*'Inputs &amp; Outputs'!B$16*'Benefit Calculations'!G16*('Benefit Calculations'!C$4-'Benefit Calculations'!C$5)</f>
        <v>147.22176578297658</v>
      </c>
      <c r="K16" s="89">
        <f t="shared" si="3"/>
        <v>4.2193931003604461E-2</v>
      </c>
      <c r="L16" s="72">
        <f>K16*'Assumed Values'!$C$8</f>
        <v>316.79203397506228</v>
      </c>
      <c r="M16" s="73">
        <f t="shared" si="0"/>
        <v>140.65945167712499</v>
      </c>
      <c r="N16" s="88">
        <f>I16*'Inputs &amp; Outputs'!B$16*'Benefit Calculations'!G16*('Benefit Calculations'!D$4-'Benefit Calculations'!D$5)</f>
        <v>63.798391470902708</v>
      </c>
      <c r="O16" s="89">
        <f t="shared" si="4"/>
        <v>1.8284693934675546E-2</v>
      </c>
      <c r="P16" s="72">
        <f>ABS(O16*'Assumed Values'!$C$7)</f>
        <v>34.832341945556919</v>
      </c>
      <c r="Q16" s="73">
        <f t="shared" si="1"/>
        <v>15.465976392189972</v>
      </c>
      <c r="T16" s="85">
        <f t="shared" si="5"/>
        <v>3.8277659103573912E-2</v>
      </c>
      <c r="U16" s="86">
        <f>T16*'Assumed Values'!$D$8</f>
        <v>0</v>
      </c>
    </row>
    <row r="17" spans="2:21" x14ac:dyDescent="0.25">
      <c r="B17" s="27"/>
      <c r="C17" s="69"/>
      <c r="F17" s="70">
        <f t="shared" si="2"/>
        <v>2031</v>
      </c>
      <c r="G17" s="80">
        <f t="shared" si="6"/>
        <v>12074.986149160695</v>
      </c>
      <c r="H17" s="79">
        <f t="shared" si="8"/>
        <v>2.2853747523771561E-2</v>
      </c>
      <c r="I17" s="70">
        <f>IF(AND(F17&gt;='Inputs &amp; Outputs'!B$13,F17&lt;'Inputs &amp; Outputs'!B$13+'Inputs &amp; Outputs'!B$19),1,0)</f>
        <v>1</v>
      </c>
      <c r="J17" s="71">
        <f>I17*'Inputs &amp; Outputs'!B$16*'Benefit Calculations'!G17*('Benefit Calculations'!C$4-'Benefit Calculations'!C$5)</f>
        <v>150.58633484818455</v>
      </c>
      <c r="K17" s="89">
        <f t="shared" si="3"/>
        <v>4.3158220449796274E-2</v>
      </c>
      <c r="L17" s="72">
        <f>K17*'Assumed Values'!$C$8</f>
        <v>324.03191913707042</v>
      </c>
      <c r="M17" s="73">
        <f t="shared" si="0"/>
        <v>134.4617264229777</v>
      </c>
      <c r="N17" s="88">
        <f>I17*'Inputs &amp; Outputs'!B$16*'Benefit Calculations'!G17*('Benefit Calculations'!D$4-'Benefit Calculations'!D$5)</f>
        <v>65.25642380200145</v>
      </c>
      <c r="O17" s="89">
        <f t="shared" si="4"/>
        <v>1.8702567713408058E-2</v>
      </c>
      <c r="P17" s="72">
        <f>ABS(O17*'Assumed Values'!$C$7)</f>
        <v>35.628391494042347</v>
      </c>
      <c r="Q17" s="73">
        <f t="shared" si="1"/>
        <v>14.784515805481952</v>
      </c>
      <c r="T17" s="85">
        <f t="shared" si="5"/>
        <v>3.9152447060527985E-2</v>
      </c>
      <c r="U17" s="86">
        <f>T17*'Assumed Values'!$D$8</f>
        <v>0</v>
      </c>
    </row>
    <row r="18" spans="2:21" x14ac:dyDescent="0.25">
      <c r="F18" s="70">
        <f t="shared" si="2"/>
        <v>2032</v>
      </c>
      <c r="G18" s="80">
        <f t="shared" si="6"/>
        <v>12350.944833966652</v>
      </c>
      <c r="H18" s="79">
        <f t="shared" si="8"/>
        <v>2.2853747523771561E-2</v>
      </c>
      <c r="I18" s="70">
        <f>IF(AND(F18&gt;='Inputs &amp; Outputs'!B$13,F18&lt;'Inputs &amp; Outputs'!B$13+'Inputs &amp; Outputs'!B$19),1,0)</f>
        <v>1</v>
      </c>
      <c r="J18" s="71">
        <f>I18*'Inputs &amp; Outputs'!B$16*'Benefit Calculations'!G18*('Benefit Calculations'!C$4-'Benefit Calculations'!C$5)</f>
        <v>154.02779692533508</v>
      </c>
      <c r="K18" s="89">
        <f t="shared" si="3"/>
        <v>4.414454752353119E-2</v>
      </c>
      <c r="L18" s="72">
        <f>K18*'Assumed Values'!$C$8</f>
        <v>331.43726280667215</v>
      </c>
      <c r="M18" s="73">
        <f t="shared" si="0"/>
        <v>128.53708483201763</v>
      </c>
      <c r="N18" s="88">
        <f>I18*'Inputs &amp; Outputs'!B$16*'Benefit Calculations'!G18*('Benefit Calculations'!D$4-'Benefit Calculations'!D$5)</f>
        <v>66.747777635876631</v>
      </c>
      <c r="O18" s="89">
        <f t="shared" si="4"/>
        <v>1.9129991473976531E-2</v>
      </c>
      <c r="P18" s="72">
        <f>ABS(O18*'Assumed Values'!$C$7)</f>
        <v>36.442633757925293</v>
      </c>
      <c r="Q18" s="73">
        <f t="shared" si="1"/>
        <v>14.133081679403414</v>
      </c>
      <c r="T18" s="85">
        <f t="shared" si="5"/>
        <v>4.0047227200587121E-2</v>
      </c>
      <c r="U18" s="86">
        <f>T18*'Assumed Values'!$D$8</f>
        <v>0</v>
      </c>
    </row>
    <row r="19" spans="2:21" x14ac:dyDescent="0.25">
      <c r="F19" s="70">
        <f t="shared" si="2"/>
        <v>2033</v>
      </c>
      <c r="G19" s="80">
        <f t="shared" si="6"/>
        <v>12633.210208882158</v>
      </c>
      <c r="H19" s="79">
        <f t="shared" si="8"/>
        <v>2.2853747523771561E-2</v>
      </c>
      <c r="I19" s="70">
        <f>IF(AND(F19&gt;='Inputs &amp; Outputs'!B$13,F19&lt;'Inputs &amp; Outputs'!B$13+'Inputs &amp; Outputs'!B$19),1,0)</f>
        <v>1</v>
      </c>
      <c r="J19" s="71">
        <f>I19*'Inputs &amp; Outputs'!B$16*'Benefit Calculations'!G19*('Benefit Calculations'!C$4-'Benefit Calculations'!C$5)</f>
        <v>157.54790930790946</v>
      </c>
      <c r="K19" s="89">
        <f t="shared" si="3"/>
        <v>4.5153415867185111E-2</v>
      </c>
      <c r="L19" s="72">
        <f>K19*'Assumed Values'!$C$8</f>
        <v>339.01184633082579</v>
      </c>
      <c r="M19" s="73">
        <f t="shared" si="0"/>
        <v>122.87349431421511</v>
      </c>
      <c r="N19" s="88">
        <f>I19*'Inputs &amp; Outputs'!B$16*'Benefit Calculations'!G19*('Benefit Calculations'!D$4-'Benefit Calculations'!D$5)</f>
        <v>68.273214493739815</v>
      </c>
      <c r="O19" s="89">
        <f t="shared" si="4"/>
        <v>1.9567183469254696E-2</v>
      </c>
      <c r="P19" s="72">
        <f>ABS(O19*'Assumed Values'!$C$7)</f>
        <v>37.275484508930198</v>
      </c>
      <c r="Q19" s="73">
        <f t="shared" si="1"/>
        <v>13.510350990502188</v>
      </c>
      <c r="T19" s="85">
        <f t="shared" si="5"/>
        <v>4.0962456420056463E-2</v>
      </c>
      <c r="U19" s="86">
        <f>T19*'Assumed Values'!$D$8</f>
        <v>0</v>
      </c>
    </row>
    <row r="20" spans="2:21" x14ac:dyDescent="0.25">
      <c r="F20" s="70">
        <f t="shared" si="2"/>
        <v>2034</v>
      </c>
      <c r="G20" s="80">
        <f t="shared" si="6"/>
        <v>12921.926405410684</v>
      </c>
      <c r="H20" s="79">
        <f t="shared" si="8"/>
        <v>2.2853747523771561E-2</v>
      </c>
      <c r="I20" s="70">
        <f>IF(AND(F20&gt;='Inputs &amp; Outputs'!B$13,F20&lt;'Inputs &amp; Outputs'!B$13+'Inputs &amp; Outputs'!B$19),1,0)</f>
        <v>1</v>
      </c>
      <c r="J20" s="71">
        <f>I20*'Inputs &amp; Outputs'!B$16*'Benefit Calculations'!G20*('Benefit Calculations'!C$4-'Benefit Calculations'!C$5)</f>
        <v>161.14846945013048</v>
      </c>
      <c r="K20" s="89">
        <f t="shared" si="3"/>
        <v>4.6185340633249625E-2</v>
      </c>
      <c r="L20" s="72">
        <f>K20*'Assumed Values'!$C$8</f>
        <v>346.75953747443816</v>
      </c>
      <c r="M20" s="73">
        <f t="shared" si="0"/>
        <v>117.45945245853812</v>
      </c>
      <c r="N20" s="88">
        <f>I20*'Inputs &amp; Outputs'!B$16*'Benefit Calculations'!G20*('Benefit Calculations'!D$4-'Benefit Calculations'!D$5)</f>
        <v>69.833513300416044</v>
      </c>
      <c r="O20" s="89">
        <f t="shared" si="4"/>
        <v>2.0014366940012358E-2</v>
      </c>
      <c r="P20" s="72">
        <f>ABS(O20*'Assumed Values'!$C$7)</f>
        <v>38.127369020723542</v>
      </c>
      <c r="Q20" s="73">
        <f t="shared" si="1"/>
        <v>12.915059010277254</v>
      </c>
      <c r="T20" s="85">
        <f t="shared" si="5"/>
        <v>4.1898602057033926E-2</v>
      </c>
      <c r="U20" s="86">
        <f>T20*'Assumed Values'!$D$8</f>
        <v>0</v>
      </c>
    </row>
    <row r="21" spans="2:21" x14ac:dyDescent="0.25">
      <c r="F21" s="70">
        <f t="shared" si="2"/>
        <v>2035</v>
      </c>
      <c r="G21" s="80">
        <f t="shared" si="6"/>
        <v>13217.240849000696</v>
      </c>
      <c r="H21" s="79">
        <f t="shared" si="8"/>
        <v>2.2853747523771561E-2</v>
      </c>
      <c r="I21" s="70">
        <f>IF(AND(F21&gt;='Inputs &amp; Outputs'!B$13,F21&lt;'Inputs &amp; Outputs'!B$13+'Inputs &amp; Outputs'!B$19),1,0)</f>
        <v>1</v>
      </c>
      <c r="J21" s="71">
        <f>I21*'Inputs &amp; Outputs'!B$16*'Benefit Calculations'!G21*('Benefit Calculations'!C$4-'Benefit Calculations'!C$5)</f>
        <v>164.83131588478597</v>
      </c>
      <c r="K21" s="89">
        <f t="shared" si="3"/>
        <v>4.7240848747381291E-2</v>
      </c>
      <c r="L21" s="72">
        <f>K21*'Assumed Values'!$C$8</f>
        <v>354.68429239533873</v>
      </c>
      <c r="M21" s="73">
        <f t="shared" si="0"/>
        <v>112.28396367224857</v>
      </c>
      <c r="N21" s="88">
        <f>I21*'Inputs &amp; Outputs'!B$16*'Benefit Calculations'!G21*('Benefit Calculations'!D$4-'Benefit Calculations'!D$5)</f>
        <v>71.429470782081694</v>
      </c>
      <c r="O21" s="89">
        <f t="shared" si="4"/>
        <v>2.0471770228907522E-2</v>
      </c>
      <c r="P21" s="72">
        <f>ABS(O21*'Assumed Values'!$C$7)</f>
        <v>38.998722286068826</v>
      </c>
      <c r="Q21" s="73">
        <f t="shared" si="1"/>
        <v>12.345996736591347</v>
      </c>
      <c r="T21" s="85">
        <f t="shared" si="5"/>
        <v>4.2856142130044357E-2</v>
      </c>
      <c r="U21" s="86">
        <f>T21*'Assumed Values'!$D$8</f>
        <v>0</v>
      </c>
    </row>
    <row r="22" spans="2:21" x14ac:dyDescent="0.25">
      <c r="F22" s="70">
        <f t="shared" si="2"/>
        <v>2036</v>
      </c>
      <c r="G22" s="80">
        <f t="shared" si="6"/>
        <v>13519.304334324639</v>
      </c>
      <c r="H22" s="79">
        <f t="shared" si="8"/>
        <v>2.2853747523771561E-2</v>
      </c>
      <c r="I22" s="70">
        <f>IF(AND(F22&gt;='Inputs &amp; Outputs'!B$13,F22&lt;'Inputs &amp; Outputs'!B$13+'Inputs &amp; Outputs'!B$19),1,0)</f>
        <v>1</v>
      </c>
      <c r="J22" s="71">
        <f>I22*'Inputs &amp; Outputs'!B$16*'Benefit Calculations'!G22*('Benefit Calculations'!C$4-'Benefit Calculations'!C$5)</f>
        <v>168.59832916202791</v>
      </c>
      <c r="K22" s="89">
        <f t="shared" si="3"/>
        <v>4.8320479177462627E-2</v>
      </c>
      <c r="L22" s="72">
        <f>K22*'Assumed Values'!$C$8</f>
        <v>362.79015766438943</v>
      </c>
      <c r="M22" s="73">
        <f t="shared" si="0"/>
        <v>107.33651684951636</v>
      </c>
      <c r="N22" s="88">
        <f>I22*'Inputs &amp; Outputs'!B$16*'Benefit Calculations'!G22*('Benefit Calculations'!D$4-'Benefit Calculations'!D$5)</f>
        <v>73.061901873092012</v>
      </c>
      <c r="O22" s="89">
        <f t="shared" si="4"/>
        <v>2.0939626897083639E-2</v>
      </c>
      <c r="P22" s="72">
        <f>ABS(O22*'Assumed Values'!$C$7)</f>
        <v>39.889989238944331</v>
      </c>
      <c r="Q22" s="73">
        <f t="shared" si="1"/>
        <v>11.802008438260481</v>
      </c>
      <c r="T22" s="85">
        <f t="shared" si="5"/>
        <v>4.3835565582127256E-2</v>
      </c>
      <c r="U22" s="86">
        <f>T22*'Assumed Values'!$D$8</f>
        <v>0</v>
      </c>
    </row>
    <row r="23" spans="2:21" x14ac:dyDescent="0.25">
      <c r="F23" s="70">
        <f t="shared" si="2"/>
        <v>2037</v>
      </c>
      <c r="G23" s="80">
        <f t="shared" si="6"/>
        <v>13828.271102278324</v>
      </c>
      <c r="H23" s="79">
        <f t="shared" si="8"/>
        <v>2.2853747523771561E-2</v>
      </c>
      <c r="I23" s="70">
        <f>IF(AND(F23&gt;='Inputs &amp; Outputs'!B$13,F23&lt;'Inputs &amp; Outputs'!B$13+'Inputs &amp; Outputs'!B$19),1,0)</f>
        <v>1</v>
      </c>
      <c r="J23" s="71">
        <f>I23*'Inputs &amp; Outputs'!B$16*'Benefit Calculations'!G23*('Benefit Calculations'!C$4-'Benefit Calculations'!C$5)</f>
        <v>172.45143280962662</v>
      </c>
      <c r="K23" s="89">
        <f t="shared" si="3"/>
        <v>4.9424783208812023E-2</v>
      </c>
      <c r="L23" s="72">
        <f>K23*'Assumed Values'!$C$8</f>
        <v>371.08127233176066</v>
      </c>
      <c r="M23" s="73">
        <f t="shared" si="0"/>
        <v>102.6070640239965</v>
      </c>
      <c r="N23" s="88">
        <f>I23*'Inputs &amp; Outputs'!B$16*'Benefit Calculations'!G23*('Benefit Calculations'!D$4-'Benefit Calculations'!D$5)</f>
        <v>74.731640132106222</v>
      </c>
      <c r="O23" s="89">
        <f t="shared" si="4"/>
        <v>2.1418175843431558E-2</v>
      </c>
      <c r="P23" s="72">
        <f>ABS(O23*'Assumed Values'!$C$7)</f>
        <v>40.80162498173712</v>
      </c>
      <c r="Q23" s="73">
        <f t="shared" si="1"/>
        <v>11.281989307833555</v>
      </c>
      <c r="T23" s="85">
        <f t="shared" si="5"/>
        <v>4.483737253050292E-2</v>
      </c>
      <c r="U23" s="86">
        <f>T23*'Assumed Values'!$D$8</f>
        <v>0</v>
      </c>
    </row>
    <row r="24" spans="2:21" x14ac:dyDescent="0.25">
      <c r="F24" s="70">
        <f t="shared" si="2"/>
        <v>2038</v>
      </c>
      <c r="G24" s="80">
        <f t="shared" si="6"/>
        <v>14144.29891874006</v>
      </c>
      <c r="H24" s="79">
        <f t="shared" si="8"/>
        <v>2.2853747523771561E-2</v>
      </c>
      <c r="I24" s="70">
        <f>IF(AND(F24&gt;='Inputs &amp; Outputs'!B$13,F24&lt;'Inputs &amp; Outputs'!B$13+'Inputs &amp; Outputs'!B$19),1,0)</f>
        <v>1</v>
      </c>
      <c r="J24" s="71">
        <f>I24*'Inputs &amp; Outputs'!B$16*'Benefit Calculations'!G24*('Benefit Calculations'!C$4-'Benefit Calculations'!C$5)</f>
        <v>176.3925943151705</v>
      </c>
      <c r="K24" s="89">
        <f t="shared" si="3"/>
        <v>5.0554324725683351E-2</v>
      </c>
      <c r="L24" s="72">
        <f>K24*'Assumed Values'!$C$8</f>
        <v>379.56187004043062</v>
      </c>
      <c r="M24" s="73">
        <f t="shared" si="0"/>
        <v>98.085999962015308</v>
      </c>
      <c r="N24" s="88">
        <f>I24*'Inputs &amp; Outputs'!B$16*'Benefit Calculations'!G24*('Benefit Calculations'!D$4-'Benefit Calculations'!D$5)</f>
        <v>76.439538167722745</v>
      </c>
      <c r="O24" s="89">
        <f t="shared" si="4"/>
        <v>2.1907661426577095E-2</v>
      </c>
      <c r="P24" s="72">
        <f>ABS(O24*'Assumed Values'!$C$7)</f>
        <v>41.734095017629365</v>
      </c>
      <c r="Q24" s="73">
        <f t="shared" si="1"/>
        <v>10.784883217795027</v>
      </c>
      <c r="T24" s="85">
        <f t="shared" si="5"/>
        <v>4.5862074521944324E-2</v>
      </c>
      <c r="U24" s="86">
        <f>T24*'Assumed Values'!$D$8</f>
        <v>0</v>
      </c>
    </row>
    <row r="25" spans="2:21" x14ac:dyDescent="0.25">
      <c r="F25" s="70">
        <f t="shared" si="2"/>
        <v>2039</v>
      </c>
      <c r="G25" s="80">
        <f t="shared" si="6"/>
        <v>14467.5491551297</v>
      </c>
      <c r="H25" s="79">
        <f t="shared" si="8"/>
        <v>2.2853747523771561E-2</v>
      </c>
      <c r="I25" s="70">
        <f>IF(AND(F25&gt;='Inputs &amp; Outputs'!B$13,F25&lt;'Inputs &amp; Outputs'!B$13+'Inputs &amp; Outputs'!B$19),1,0)</f>
        <v>1</v>
      </c>
      <c r="J25" s="71">
        <f>I25*'Inputs &amp; Outputs'!B$16*'Benefit Calculations'!G25*('Benefit Calculations'!C$4-'Benefit Calculations'!C$5)</f>
        <v>180.42382613071246</v>
      </c>
      <c r="K25" s="89">
        <f t="shared" si="3"/>
        <v>5.1709680499198885E-2</v>
      </c>
      <c r="L25" s="72">
        <f>K25*'Assumed Values'!$C$8</f>
        <v>388.23628118798524</v>
      </c>
      <c r="M25" s="73">
        <f t="shared" si="0"/>
        <v>93.76414265491951</v>
      </c>
      <c r="N25" s="88">
        <f>I25*'Inputs &amp; Outputs'!B$16*'Benefit Calculations'!G25*('Benefit Calculations'!D$4-'Benefit Calculations'!D$5)</f>
        <v>78.186468073841567</v>
      </c>
      <c r="O25" s="89">
        <f t="shared" si="4"/>
        <v>2.2408333589656351E-2</v>
      </c>
      <c r="P25" s="72">
        <f>ABS(O25*'Assumed Values'!$C$7)</f>
        <v>42.687875488295347</v>
      </c>
      <c r="Q25" s="73">
        <f t="shared" si="1"/>
        <v>10.309680575633525</v>
      </c>
      <c r="T25" s="85">
        <f t="shared" si="5"/>
        <v>4.6910194793985241E-2</v>
      </c>
      <c r="U25" s="86">
        <f>T25*'Assumed Values'!$D$8</f>
        <v>0</v>
      </c>
    </row>
    <row r="26" spans="2:21" x14ac:dyDescent="0.25">
      <c r="F26" s="70">
        <f t="shared" si="2"/>
        <v>2040</v>
      </c>
      <c r="G26" s="80">
        <f t="shared" si="6"/>
        <v>14798.18687080879</v>
      </c>
      <c r="H26" s="79">
        <f t="shared" si="8"/>
        <v>2.2853747523771561E-2</v>
      </c>
      <c r="I26" s="70">
        <f>IF(AND(F26&gt;='Inputs &amp; Outputs'!B$13,F26&lt;'Inputs &amp; Outputs'!B$13+'Inputs &amp; Outputs'!B$19),1,0)</f>
        <v>1</v>
      </c>
      <c r="J26" s="71">
        <f>I26*'Inputs &amp; Outputs'!B$16*'Benefit Calculations'!G26*('Benefit Calculations'!C$4-'Benefit Calculations'!C$5)</f>
        <v>184.54718670037664</v>
      </c>
      <c r="K26" s="89">
        <f t="shared" si="3"/>
        <v>5.2891440481862471E-2</v>
      </c>
      <c r="L26" s="72">
        <f>K26*'Assumed Values'!$C$8</f>
        <v>397.10893513782344</v>
      </c>
      <c r="M26" s="73">
        <f t="shared" si="0"/>
        <v>89.632714670970032</v>
      </c>
      <c r="N26" s="88">
        <f>I26*'Inputs &amp; Outputs'!B$16*'Benefit Calculations'!G26*('Benefit Calculations'!D$4-'Benefit Calculations'!D$5)</f>
        <v>79.973321874976577</v>
      </c>
      <c r="O26" s="89">
        <f t="shared" si="4"/>
        <v>2.2920447987942807E-2</v>
      </c>
      <c r="P26" s="72">
        <f>ABS(O26*'Assumed Values'!$C$7)</f>
        <v>43.66345341703105</v>
      </c>
      <c r="Q26" s="73">
        <f t="shared" si="1"/>
        <v>9.8554162734203619</v>
      </c>
      <c r="T26" s="85">
        <f t="shared" si="5"/>
        <v>4.7982268542097924E-2</v>
      </c>
      <c r="U26" s="86">
        <f>T26*'Assumed Values'!$D$8</f>
        <v>0</v>
      </c>
    </row>
    <row r="27" spans="2:21" x14ac:dyDescent="0.25">
      <c r="F27" s="70">
        <f t="shared" si="2"/>
        <v>2041</v>
      </c>
      <c r="G27" s="80">
        <f t="shared" si="6"/>
        <v>15136.380897363844</v>
      </c>
      <c r="H27" s="79">
        <f t="shared" si="8"/>
        <v>2.2853747523771561E-2</v>
      </c>
      <c r="I27" s="70">
        <f>IF(AND(F27&gt;='Inputs &amp; Outputs'!B$13,F27&lt;'Inputs &amp; Outputs'!B$13+'Inputs &amp; Outputs'!B$19),1,0)</f>
        <v>1</v>
      </c>
      <c r="J27" s="71">
        <f>I27*'Inputs &amp; Outputs'!B$16*'Benefit Calculations'!G27*('Benefit Calculations'!C$4-'Benefit Calculations'!C$5)</f>
        <v>188.76478151144937</v>
      </c>
      <c r="K27" s="89">
        <f t="shared" si="3"/>
        <v>5.4100208108803546E-2</v>
      </c>
      <c r="L27" s="72">
        <f>K27*'Assumed Values'!$C$8</f>
        <v>406.18436248089705</v>
      </c>
      <c r="M27" s="73">
        <f t="shared" si="0"/>
        <v>85.683325328907145</v>
      </c>
      <c r="N27" s="88">
        <f>I27*'Inputs &amp; Outputs'!B$16*'Benefit Calculations'!G27*('Benefit Calculations'!D$4-'Benefit Calculations'!D$5)</f>
        <v>81.801011981744608</v>
      </c>
      <c r="O27" s="89">
        <f t="shared" si="4"/>
        <v>2.3444266119390992E-2</v>
      </c>
      <c r="P27" s="72">
        <f>ABS(O27*'Assumed Values'!$C$7)</f>
        <v>44.66132695743984</v>
      </c>
      <c r="Q27" s="73">
        <f t="shared" si="1"/>
        <v>9.4211677277334385</v>
      </c>
      <c r="T27" s="85">
        <f t="shared" si="5"/>
        <v>4.9078843192976833E-2</v>
      </c>
      <c r="U27" s="86">
        <f>T27*'Assumed Values'!$D$8</f>
        <v>0</v>
      </c>
    </row>
    <row r="28" spans="2:21" x14ac:dyDescent="0.25">
      <c r="F28" s="70">
        <f t="shared" si="2"/>
        <v>2042</v>
      </c>
      <c r="G28" s="80">
        <f t="shared" si="6"/>
        <v>15482.303924815837</v>
      </c>
      <c r="H28" s="79">
        <f t="shared" si="8"/>
        <v>2.2853747523771561E-2</v>
      </c>
      <c r="I28" s="70">
        <f>IF(AND(F28&gt;='Inputs &amp; Outputs'!B$13,F28&lt;'Inputs &amp; Outputs'!B$13+'Inputs &amp; Outputs'!B$19),1,0)</f>
        <v>1</v>
      </c>
      <c r="J28" s="71">
        <f>I28*'Inputs &amp; Outputs'!B$16*'Benefit Calculations'!G28*('Benefit Calculations'!C$4-'Benefit Calculations'!C$5)</f>
        <v>193.07876416949193</v>
      </c>
      <c r="K28" s="89">
        <f t="shared" si="3"/>
        <v>5.5336600605905638E-2</v>
      </c>
      <c r="L28" s="72">
        <f>K28*'Assumed Values'!$C$8</f>
        <v>415.46719734913955</v>
      </c>
      <c r="M28" s="73">
        <f t="shared" si="0"/>
        <v>81.907953656982386</v>
      </c>
      <c r="N28" s="88">
        <f>I28*'Inputs &amp; Outputs'!B$16*'Benefit Calculations'!G28*('Benefit Calculations'!D$4-'Benefit Calculations'!D$5)</f>
        <v>83.670471656764406</v>
      </c>
      <c r="O28" s="89">
        <f t="shared" si="4"/>
        <v>2.3980055458163663E-2</v>
      </c>
      <c r="P28" s="72">
        <f>ABS(O28*'Assumed Values'!$C$7)</f>
        <v>45.68200564780178</v>
      </c>
      <c r="Q28" s="73">
        <f t="shared" si="1"/>
        <v>9.0060530059459456</v>
      </c>
      <c r="T28" s="85">
        <f t="shared" si="5"/>
        <v>5.0200478684067899E-2</v>
      </c>
      <c r="U28" s="86">
        <f>T28*'Assumed Values'!$D$8</f>
        <v>0</v>
      </c>
    </row>
    <row r="29" spans="2:21" x14ac:dyDescent="0.25">
      <c r="F29" s="70">
        <f t="shared" si="2"/>
        <v>2043</v>
      </c>
      <c r="G29" s="80">
        <f t="shared" si="6"/>
        <v>15836.132589799876</v>
      </c>
      <c r="H29" s="79">
        <f t="shared" si="8"/>
        <v>2.2853747523771561E-2</v>
      </c>
      <c r="I29" s="70">
        <f>IF(AND(F29&gt;='Inputs &amp; Outputs'!B$13,F29&lt;'Inputs &amp; Outputs'!B$13+'Inputs &amp; Outputs'!B$19),1,0)</f>
        <v>1</v>
      </c>
      <c r="J29" s="71">
        <f>I29*'Inputs &amp; Outputs'!B$16*'Benefit Calculations'!G29*('Benefit Calculations'!C$4-'Benefit Calculations'!C$5)</f>
        <v>197.49133749802334</v>
      </c>
      <c r="K29" s="89">
        <f t="shared" si="3"/>
        <v>5.6601249304976793E-2</v>
      </c>
      <c r="L29" s="72">
        <f>K29*'Assumed Values'!$C$8</f>
        <v>424.96217978176577</v>
      </c>
      <c r="M29" s="73">
        <f t="shared" si="0"/>
        <v>78.298932102848454</v>
      </c>
      <c r="N29" s="88">
        <f>I29*'Inputs &amp; Outputs'!B$16*'Benefit Calculations'!G29*('Benefit Calculations'!D$4-'Benefit Calculations'!D$5)</f>
        <v>85.582655491202999</v>
      </c>
      <c r="O29" s="89">
        <f t="shared" si="4"/>
        <v>2.452808959121058E-2</v>
      </c>
      <c r="P29" s="72">
        <f>ABS(O29*'Assumed Values'!$C$7)</f>
        <v>46.726010671256155</v>
      </c>
      <c r="Q29" s="73">
        <f t="shared" si="1"/>
        <v>8.6092290350743355</v>
      </c>
      <c r="T29" s="85">
        <f t="shared" si="5"/>
        <v>5.134774774948607E-2</v>
      </c>
      <c r="U29" s="86">
        <f>T29*'Assumed Values'!$D$8</f>
        <v>0</v>
      </c>
    </row>
    <row r="30" spans="2:21" x14ac:dyDescent="0.25">
      <c r="F30" s="70">
        <f t="shared" si="2"/>
        <v>2044</v>
      </c>
      <c r="G30" s="80">
        <f t="shared" si="6"/>
        <v>16198.047565760133</v>
      </c>
      <c r="H30" s="79">
        <f t="shared" si="8"/>
        <v>2.2853747523771561E-2</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18550</v>
      </c>
      <c r="H31" s="79">
        <f t="shared" si="8"/>
        <v>2.2853747523771561E-2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18973.937016565964</v>
      </c>
      <c r="H32" s="79">
        <f t="shared" si="8"/>
        <v>2.2853747523771561E-2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19407.562582674505</v>
      </c>
      <c r="H33" s="79">
        <f t="shared" si="8"/>
        <v>2.2853747523771561E-2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19851.098117990743</v>
      </c>
      <c r="H34" s="79">
        <f t="shared" si="8"/>
        <v>2.2853747523771561E-2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20304.770102448922</v>
      </c>
      <c r="H35" s="79">
        <f t="shared" si="8"/>
        <v>2.2853747523771561E-2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20768.810191898516</v>
      </c>
      <c r="H36" s="79">
        <f t="shared" si="8"/>
        <v>2.2853747523771561E-2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3212.6927377272759</v>
      </c>
      <c r="K37" s="71">
        <f t="shared" ref="K37:Q37" si="9">SUM(K4:K36)</f>
        <v>0.92076151233828185</v>
      </c>
      <c r="L37" s="74">
        <f t="shared" si="9"/>
        <v>6913.0774346358185</v>
      </c>
      <c r="M37" s="75">
        <f t="shared" si="9"/>
        <v>2482.9513562481907</v>
      </c>
      <c r="N37" s="88">
        <f t="shared" si="9"/>
        <v>1392.216890397814</v>
      </c>
      <c r="O37" s="88">
        <f t="shared" si="9"/>
        <v>0.39901099611923446</v>
      </c>
      <c r="P37" s="76">
        <f t="shared" si="9"/>
        <v>760.11594760714195</v>
      </c>
      <c r="Q37" s="75">
        <f t="shared" si="9"/>
        <v>273.00879251853132</v>
      </c>
      <c r="T37" s="85">
        <f>SUM(T4:T36)</f>
        <v>0.83530011180909203</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Drew Davis</cp:lastModifiedBy>
  <cp:lastPrinted>2018-10-09T21:19:28Z</cp:lastPrinted>
  <dcterms:created xsi:type="dcterms:W3CDTF">2012-07-25T15:48:32Z</dcterms:created>
  <dcterms:modified xsi:type="dcterms:W3CDTF">2018-10-24T19:08:28Z</dcterms:modified>
</cp:coreProperties>
</file>