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Y:\City_of_Mont_Belvieu\6228-00_HGAC_TIP_Application_Support\04_ENGR\03_Documents\3. Langston Blvd\"/>
    </mc:Choice>
  </mc:AlternateContent>
  <xr:revisionPtr revIDLastSave="0" documentId="13_ncr:1_{E13BC77A-42BE-494B-857D-5FE26D4D859D}" xr6:coauthVersionLast="36" xr6:coauthVersionMax="36"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Outputs'!$A$1:$G$60</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s="1"/>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<sst xmlns="http://schemas.openxmlformats.org/spreadsheetml/2006/main" count="291" uniqueCount="237">
  <si>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</si>
  <si>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</si>
  <si>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</si>
  <si>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</si>
  <si>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</si>
  <si>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</si>
  <si>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</si>
  <si>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</si>
  <si>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</si>
  <si>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</si>
  <si>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</si>
  <si>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</si>
  <si>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</si>
  <si>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</si>
  <si>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</si>
  <si>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</si>
  <si>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</si>
  <si>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</si>
  <si>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</si>
  <si>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</si>
  <si>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</si>
  <si>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</si>
  <si>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</si>
  <si>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</si>
  <si>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</si>
  <si>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</si>
  <si>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</si>
  <si>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</si>
  <si>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</si>
  <si>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</si>
  <si>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</si>
  <si>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</si>
  <si>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</si>
  <si>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</si>
  <si>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</si>
  <si>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</si>
  <si>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</si>
  <si>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</si>
  <si>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</si>
  <si>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</si>
  <si>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</si>
  <si>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</si>
  <si>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</si>
  <si>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</si>
  <si>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</si>
  <si>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</si>
  <si>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</si>
  <si>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</si>
  <si>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</si>
  <si>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</si>
  <si>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</si>
  <si>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</si>
  <si>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</si>
  <si>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</si>
  <si>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</si>
  <si>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</si>
  <si>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</si>
  <si>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</si>
  <si>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</si>
  <si>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</si>
  <si>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</si>
  <si>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</si>
  <si>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</si>
  <si>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</si>
  <si>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</si>
  <si>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</si>
  <si>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</si>
  <si>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</si>
  <si>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</si>
  <si>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</si>
  <si>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</si>
  <si>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</si>
  <si>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</si>
  <si>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</si>
  <si>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</si>
  <si>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</si>
  <si>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</si>
  <si>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</si>
  <si>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</si>
  <si>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</si>
  <si>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</si>
  <si>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</si>
  <si>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</si>
  <si>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</si>
  <si>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</si>
  <si>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</si>
  <si>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</si>
  <si>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</si>
  <si>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</si>
  <si>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</si>
  <si>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</si>
  <si>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</si>
  <si>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</si>
  <si>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</si>
  <si>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</si>
  <si>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</si>
  <si>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</si>
  <si>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</si>
  <si>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</si>
  <si>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</si>
  <si>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</si>
  <si>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</si>
  <si>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</si>
  <si>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</si>
  <si>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</si>
  <si>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</si>
  <si>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</si>
  <si>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</si>
  <si>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</si>
  <si>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</si>
  <si>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</si>
  <si>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</si>
  <si>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</si>
  <si>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</si>
  <si>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</si>
  <si>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</si>
  <si>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</si>
  <si>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</si>
  <si>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</si>
  <si>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</si>
  <si>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</si>
  <si>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</si>
  <si>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</si>
  <si>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</si>
  <si>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</si>
  <si>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</si>
  <si>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</si>
  <si>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</si>
  <si>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</si>
  <si>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</si>
  <si>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</si>
  <si>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</si>
  <si>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</si>
  <si>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</si>
  <si>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</si>
  <si>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</si>
  <si>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</si>
  <si>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</si>
  <si>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</si>
  <si>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</si>
  <si>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</si>
  <si>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</si>
  <si>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</si>
  <si>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</si>
  <si>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</si>
  <si>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</si>
  <si>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</si>
  <si>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</si>
  <si>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</si>
  <si>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</si>
  <si>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</si>
  <si>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</si>
  <si>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</si>
  <si>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</si>
  <si>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</si>
  <si>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</si>
  <si>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</si>
  <si>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</si>
  <si>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</si>
  <si>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</si>
  <si>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</si>
  <si>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</si>
  <si>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</si>
  <si>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</si>
  <si>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</si>
  <si>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</si>
  <si>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</si>
  <si>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</si>
  <si>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</si>
  <si>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</si>
  <si>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</si>
  <si>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</si>
  <si>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</si>
  <si>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</si>
  <si>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</si>
  <si>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</si>
  <si>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</si>
  <si>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</si>
  <si>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</si>
  <si>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</si>
  <si>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</si>
  <si>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</si>
  <si>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</si>
  <si>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</si>
  <si>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</si>
  <si>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</si>
  <si>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</si>
  <si>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</si>
  <si>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</si>
  <si>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</si>
  <si>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</si>
  <si>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</si>
  <si>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</si>
  <si>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</si>
  <si>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</si>
  <si>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</si>
  <si>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</si>
  <si>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</si>
  <si>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</si>
  <si>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</si>
  <si>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</si>
  <si>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</si>
  <si>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</si>
  <si>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</si>
  <si>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</si>
  <si>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</si>
  <si>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</si>
  <si>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</si>
  <si>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</si>
  <si>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</si>
  <si>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</si>
  <si>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</si>
  <si>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</si>
  <si>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</si>
  <si>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</si>
  <si>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</si>
  <si>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</si>
  <si>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</si>
  <si>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</si>
  <si>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</si>
  <si>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</si>
  <si>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</si>
  <si>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</si>
  <si>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</si>
  <si>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</si>
  <si>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</si>
  <si>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</si>
  <si>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</si>
  <si>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</si>
  <si>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</si>
  <si>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</si>
  <si>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</si>
  <si>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</si>
  <si>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Langston Blvd</t>
  </si>
  <si>
    <t>Langston Blvd Extension</t>
  </si>
  <si>
    <t>Franklin Drive</t>
  </si>
  <si>
    <t>Grand Parkway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</si>
</sst>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Normal="100" workbookViewId="0">
      <selection activeCell="E47" sqref="E47"/>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234</v>
      </c>
      <c r="D6" s="8"/>
      <c r="E6" s="103" t="s">
        <v>187</v>
      </c>
    </row>
    <row r="7" spans="1:7" x14ac:dyDescent="0.25">
      <c r="A7" s="8" t="s">
        <v>98</v>
      </c>
      <c r="B7" s="138" t="s">
        <v>198</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235</v>
      </c>
    </row>
    <row r="11" spans="1:7" x14ac:dyDescent="0.25">
      <c r="A11" s="8" t="s">
        <v>102</v>
      </c>
      <c r="B11" s="138" t="s">
        <v>236</v>
      </c>
    </row>
    <row r="12" spans="1:7" x14ac:dyDescent="0.25">
      <c r="A12" s="8" t="s">
        <v>103</v>
      </c>
      <c r="B12" s="138">
        <v>0.95</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2024</v>
      </c>
      <c r="E18" s="105" t="s">
        <v>232</v>
      </c>
      <c r="F18" s="145">
        <f>$B$12/$B$32</f>
        <v>1.759259259259259E-2</v>
      </c>
    </row>
    <row r="19" spans="1:7" ht="30" x14ac:dyDescent="0.25">
      <c r="A19" s="8" t="s">
        <v>121</v>
      </c>
      <c r="B19" s="140" t="s">
        <v>128</v>
      </c>
      <c r="E19" s="107" t="s">
        <v>212</v>
      </c>
      <c r="F19" s="146">
        <f>$B$12/$B$33</f>
        <v>1.9387755102040816E-2</v>
      </c>
    </row>
    <row r="20" spans="1:7" ht="30" x14ac:dyDescent="0.25">
      <c r="A20" s="135" t="s">
        <v>208</v>
      </c>
      <c r="B20" s="136">
        <f>VLOOKUP(B19,'Delay Reduction Factors'!B4:C80,2, FALSE)</f>
        <v>0.4</v>
      </c>
      <c r="E20" s="107" t="s">
        <v>209</v>
      </c>
      <c r="F20" s="145">
        <f>$F$19-$F$18</f>
        <v>1.7951625094482261E-3</v>
      </c>
    </row>
    <row r="21" spans="1:7" x14ac:dyDescent="0.25">
      <c r="A21" s="8" t="s">
        <v>104</v>
      </c>
      <c r="B21" s="79">
        <v>20</v>
      </c>
      <c r="D21" s="121"/>
      <c r="E21" s="105" t="s">
        <v>210</v>
      </c>
      <c r="F21" s="145">
        <f>$F$20*$B$20</f>
        <v>7.1806500377929051E-4</v>
      </c>
      <c r="G21" s="122"/>
    </row>
    <row r="22" spans="1:7" s="113" customFormat="1" x14ac:dyDescent="0.25">
      <c r="D22" s="121"/>
      <c r="E22" s="105" t="s">
        <v>211</v>
      </c>
      <c r="F22" s="145">
        <f>$F$20-$F$21</f>
        <v>1.0770975056689355E-3</v>
      </c>
      <c r="G22" s="122"/>
    </row>
    <row r="23" spans="1:7" x14ac:dyDescent="0.25">
      <c r="E23" s="105" t="s">
        <v>213</v>
      </c>
      <c r="F23" s="145">
        <f>$F$18+$F$22</f>
        <v>1.8669690098261527E-2</v>
      </c>
    </row>
    <row r="24" spans="1:7" x14ac:dyDescent="0.25">
      <c r="A24" s="119" t="s">
        <v>94</v>
      </c>
      <c r="B24" s="123"/>
      <c r="D24" s="121"/>
      <c r="G24" s="124"/>
    </row>
    <row r="25" spans="1:7" x14ac:dyDescent="0.25">
      <c r="A25" s="8" t="s">
        <v>218</v>
      </c>
      <c r="B25" s="141">
        <v>8435</v>
      </c>
      <c r="D25" s="121"/>
      <c r="G25" s="124"/>
    </row>
    <row r="28" spans="1:7" x14ac:dyDescent="0.25">
      <c r="A28" s="105" t="s">
        <v>227</v>
      </c>
      <c r="B28" s="134">
        <f>IF(FacilityType='Delay Reduction Factors'!N5,'Inputs &amp; Outputs'!B25*45%, B25*43%)</f>
        <v>3627.0499999999997</v>
      </c>
      <c r="D28" s="121"/>
      <c r="E28" s="125" t="s">
        <v>95</v>
      </c>
      <c r="F28" s="126" t="s">
        <v>20</v>
      </c>
      <c r="G28" s="127" t="s">
        <v>19</v>
      </c>
    </row>
    <row r="29" spans="1:7" x14ac:dyDescent="0.25">
      <c r="A29" s="105" t="s">
        <v>228</v>
      </c>
      <c r="B29" s="115">
        <f>VLOOKUP(Year_Open_to_Traffic?,Calculations!H4:I36,2)</f>
        <v>5082.9214053847618</v>
      </c>
      <c r="D29" s="121"/>
      <c r="E29" s="107" t="s">
        <v>122</v>
      </c>
      <c r="F29" s="101">
        <f>$B$29*$F$23</f>
        <v>94.89656743235345</v>
      </c>
      <c r="G29" s="102">
        <f>$B$29*$F$19</f>
        <v>98.546435410520886</v>
      </c>
    </row>
    <row r="30" spans="1:7" x14ac:dyDescent="0.25">
      <c r="A30" s="124"/>
      <c r="B30" s="100"/>
      <c r="D30" s="121"/>
    </row>
    <row r="32" spans="1:7" x14ac:dyDescent="0.25">
      <c r="A32" s="128" t="s">
        <v>221</v>
      </c>
      <c r="B32" s="142">
        <v>54</v>
      </c>
      <c r="D32" s="121"/>
    </row>
    <row r="33" spans="1:7" ht="30" x14ac:dyDescent="0.25">
      <c r="A33" s="129" t="s">
        <v>222</v>
      </c>
      <c r="B33" s="143">
        <v>49</v>
      </c>
      <c r="D33" s="121"/>
      <c r="E33" s="121"/>
      <c r="F33" s="130"/>
      <c r="G33" s="117"/>
    </row>
    <row r="34" spans="1:7" x14ac:dyDescent="0.25">
      <c r="A34" s="131"/>
      <c r="B34" s="144"/>
      <c r="E34" s="117"/>
      <c r="F34" s="130"/>
      <c r="G34" s="130"/>
    </row>
    <row r="35" spans="1:7" x14ac:dyDescent="0.25">
      <c r="A35" s="105" t="s">
        <v>223</v>
      </c>
      <c r="B35" s="148">
        <f>$B$28</f>
        <v>3627.0499999999997</v>
      </c>
    </row>
    <row r="36" spans="1:7" x14ac:dyDescent="0.25">
      <c r="A36" s="128" t="s">
        <v>224</v>
      </c>
      <c r="B36" s="142">
        <v>10360</v>
      </c>
    </row>
    <row r="37" spans="1:7" x14ac:dyDescent="0.25">
      <c r="A37" s="128" t="s">
        <v>229</v>
      </c>
      <c r="B37" s="142">
        <v>5377</v>
      </c>
    </row>
    <row r="38" spans="1:7" x14ac:dyDescent="0.25">
      <c r="A38" s="128" t="s">
        <v>225</v>
      </c>
      <c r="B38" s="142">
        <v>10360</v>
      </c>
    </row>
    <row r="39" spans="1:7" x14ac:dyDescent="0.25">
      <c r="A39" s="128" t="s">
        <v>230</v>
      </c>
      <c r="B39" s="142">
        <v>11130</v>
      </c>
    </row>
    <row r="40" spans="1:7" x14ac:dyDescent="0.25">
      <c r="A40" s="128" t="s">
        <v>226</v>
      </c>
      <c r="B40" s="142">
        <v>10360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336.01968824867299</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4" fitToWidth="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24673.107532411897</v>
      </c>
      <c r="F4" s="22">
        <f>'Inputs &amp; Outputs'!G29*Annual_Days_of_Travel</f>
        <v>25622.073206735429</v>
      </c>
      <c r="H4" s="59">
        <v>2018</v>
      </c>
      <c r="I4" s="60">
        <f>'Inputs &amp; Outputs'!B28</f>
        <v>3627.0499999999997</v>
      </c>
      <c r="J4" s="60">
        <f>IF(H4=Year_Open_to_Traffic?,$F$4,0)</f>
        <v>0</v>
      </c>
      <c r="K4" s="60">
        <f>IF(H4=Year_Open_to_Traffic?,Calculations!$E$4,0)</f>
        <v>0</v>
      </c>
      <c r="L4" s="60">
        <f>IF(AND(H4&gt;=Year_Open_to_Traffic?, Calculations!H4&lt;Year_Open_to_Traffic?+'Inputs &amp; Outputs'!B$21), 1, 0)</f>
        <v>0</v>
      </c>
      <c r="M4" s="81" t="s">
        <v>75</v>
      </c>
      <c r="N4" s="82">
        <f>MIN(E8,1)</f>
        <v>0.35010135135135134</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5.7856215188315741E-2</v>
      </c>
      <c r="F5" s="28"/>
      <c r="H5" s="15">
        <f t="shared" ref="H5:H36" si="3">H4+1</f>
        <v>2019</v>
      </c>
      <c r="I5" s="97">
        <f>(I4*M5)+I4</f>
        <v>3836.8973852987801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5.7856215188315741E-2</v>
      </c>
      <c r="N5" s="87">
        <f t="shared" ref="N5:N11" si="6">N4*(1+IFERROR(_2018_2025_V_C_Growth,_2018_2045_V_C_Growth))</f>
        <v>0.37035689047285525</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3.704536883566889E-2</v>
      </c>
      <c r="F6" s="28"/>
      <c r="H6" s="59">
        <f t="shared" si="3"/>
        <v>2020</v>
      </c>
      <c r="I6" s="97">
        <f t="shared" ref="I6:I36" si="10">(I5*M6)+I5</f>
        <v>4058.8857460781123</v>
      </c>
      <c r="J6" s="60">
        <f t="shared" si="4"/>
        <v>0</v>
      </c>
      <c r="K6" s="60">
        <f>IF(H6=Year_Open_to_Traffic?,Calculations!$E$4,K5+(K5*M6))</f>
        <v>0</v>
      </c>
      <c r="L6" s="60">
        <f>IF(AND(H6&gt;=Year_Open_to_Traffic?, Calculations!H6&lt;Year_Open_to_Traffic?+'Inputs &amp; Outputs'!B$21), 1, 0)</f>
        <v>0</v>
      </c>
      <c r="M6" s="81">
        <f t="shared" si="5"/>
        <v>5.7856215188315741E-2</v>
      </c>
      <c r="N6" s="87">
        <f t="shared" si="6"/>
        <v>0.39178433842452826</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4.2401133329345475E-2</v>
      </c>
      <c r="F7" s="28"/>
      <c r="H7" s="15">
        <f t="shared" si="3"/>
        <v>2021</v>
      </c>
      <c r="I7" s="97">
        <f t="shared" si="10"/>
        <v>4293.7175132279954</v>
      </c>
      <c r="J7" s="60">
        <f t="shared" si="4"/>
        <v>0</v>
      </c>
      <c r="K7" s="60">
        <f>IF(H7=Year_Open_to_Traffic?,Calculations!$E$4,K6+(K6*M7))</f>
        <v>0</v>
      </c>
      <c r="L7" s="60">
        <f>IF(AND(H7&gt;=Year_Open_to_Traffic?, Calculations!H7&lt;Year_Open_to_Traffic?+'Inputs &amp; Outputs'!B$21), 1, 0)</f>
        <v>0</v>
      </c>
      <c r="M7" s="81">
        <f t="shared" si="5"/>
        <v>5.7856215188315741E-2</v>
      </c>
      <c r="N7" s="87">
        <f t="shared" si="6"/>
        <v>0.41445149741582971</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0.35010135135135134</v>
      </c>
      <c r="F8" s="28"/>
      <c r="H8" s="59">
        <f t="shared" si="3"/>
        <v>2022</v>
      </c>
      <c r="I8" s="97">
        <f t="shared" si="10"/>
        <v>4542.1357576311539</v>
      </c>
      <c r="J8" s="60">
        <f t="shared" si="4"/>
        <v>0</v>
      </c>
      <c r="K8" s="60">
        <f>IF(H8=Year_Open_to_Traffic?,Calculations!$E$4,K7+(K7*M8))</f>
        <v>0</v>
      </c>
      <c r="L8" s="60">
        <f>IF(AND(H8&gt;=Year_Open_to_Traffic?, Calculations!H8&lt;Year_Open_to_Traffic?+'Inputs &amp; Outputs'!B$21), 1, 0)</f>
        <v>0</v>
      </c>
      <c r="M8" s="81">
        <f t="shared" si="5"/>
        <v>5.7856215188315741E-2</v>
      </c>
      <c r="N8" s="87">
        <f t="shared" si="6"/>
        <v>0.43843009243543962</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20</v>
      </c>
      <c r="D9" s="18" t="s">
        <v>65</v>
      </c>
      <c r="E9" s="23">
        <f>_2025_PeakVolume/_2025_Capacity</f>
        <v>0.51901544401544397</v>
      </c>
      <c r="F9" s="28"/>
      <c r="H9" s="15">
        <f t="shared" si="3"/>
        <v>2023</v>
      </c>
      <c r="I9" s="97">
        <f t="shared" si="10"/>
        <v>4804.9265414392057</v>
      </c>
      <c r="J9" s="60">
        <f t="shared" si="4"/>
        <v>0</v>
      </c>
      <c r="K9" s="60">
        <f>IF(H9=Year_Open_to_Traffic?,Calculations!$E$4,K8+(K8*M9))</f>
        <v>0</v>
      </c>
      <c r="L9" s="60">
        <f>IF(AND(H9&gt;=Year_Open_to_Traffic?, Calculations!H9&lt;Year_Open_to_Traffic?+'Inputs &amp; Outputs'!B$21), 1, 0)</f>
        <v>0</v>
      </c>
      <c r="M9" s="81">
        <f t="shared" si="5"/>
        <v>5.7856215188315741E-2</v>
      </c>
      <c r="N9" s="87">
        <f t="shared" si="6"/>
        <v>0.4637959982084176</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1.0743243243243243</v>
      </c>
      <c r="F10" s="28"/>
      <c r="H10" s="59">
        <f t="shared" si="3"/>
        <v>2024</v>
      </c>
      <c r="I10" s="97">
        <f t="shared" si="10"/>
        <v>5082.9214053847618</v>
      </c>
      <c r="J10" s="60">
        <f t="shared" si="4"/>
        <v>25622.073206735429</v>
      </c>
      <c r="K10" s="60">
        <f>IF(H10=Year_Open_to_Traffic?,Calculations!$E$4,K9+(K9*M10))</f>
        <v>24673.107532411897</v>
      </c>
      <c r="L10" s="60">
        <f>IF(AND(H10&gt;=Year_Open_to_Traffic?, Calculations!H10&lt;Year_Open_to_Traffic?+'Inputs &amp; Outputs'!B$21), 1, 0)</f>
        <v>1</v>
      </c>
      <c r="M10" s="81">
        <f t="shared" si="5"/>
        <v>5.7856215188315741E-2</v>
      </c>
      <c r="N10" s="87">
        <f t="shared" si="6"/>
        <v>0.4906294792842435</v>
      </c>
      <c r="O10" s="88">
        <f t="shared" si="7"/>
        <v>1</v>
      </c>
      <c r="P10" s="84">
        <f>(J10-K10)*L10</f>
        <v>948.96567432353186</v>
      </c>
      <c r="Q10" s="85">
        <f t="shared" si="0"/>
        <v>1</v>
      </c>
      <c r="R10" s="86">
        <f t="shared" si="1"/>
        <v>20.320200961804083</v>
      </c>
      <c r="S10" s="94">
        <f t="shared" si="2"/>
        <v>26.803610759270249</v>
      </c>
      <c r="T10" s="80">
        <f t="shared" si="9"/>
        <v>17.860377599644341</v>
      </c>
      <c r="W10" s="73"/>
    </row>
    <row r="11" spans="1:24" ht="30" customHeight="1" x14ac:dyDescent="0.25">
      <c r="A11" s="153" t="s">
        <v>219</v>
      </c>
      <c r="B11" s="154"/>
      <c r="D11" s="18" t="s">
        <v>70</v>
      </c>
      <c r="E11" s="46">
        <f>(E9/E8)^(1/(2025-2018))-1</f>
        <v>5.7856215188315741E-2</v>
      </c>
      <c r="F11" s="28"/>
      <c r="H11" s="15">
        <f t="shared" si="3"/>
        <v>2025</v>
      </c>
      <c r="I11" s="97">
        <f t="shared" si="10"/>
        <v>5376.9999999999991</v>
      </c>
      <c r="J11" s="60">
        <f t="shared" si="4"/>
        <v>27104.469387755093</v>
      </c>
      <c r="K11" s="60">
        <f>IF(H11=Year_Open_to_Traffic?,Calculations!$E$4,K10+(K10*M11))</f>
        <v>26100.600151171573</v>
      </c>
      <c r="L11" s="60">
        <f>IF(AND(H11&gt;=Year_Open_to_Traffic?, Calculations!H11&lt;Year_Open_to_Traffic?+'Inputs &amp; Outputs'!B$21), 1, 0)</f>
        <v>1</v>
      </c>
      <c r="M11" s="81">
        <f t="shared" si="5"/>
        <v>5.7856215188315741E-2</v>
      </c>
      <c r="N11" s="87">
        <f t="shared" si="6"/>
        <v>0.51901544401544397</v>
      </c>
      <c r="O11" s="88">
        <f t="shared" si="7"/>
        <v>1</v>
      </c>
      <c r="P11" s="84">
        <f t="shared" si="8"/>
        <v>1003.8692365835195</v>
      </c>
      <c r="Q11" s="85">
        <f t="shared" si="0"/>
        <v>1</v>
      </c>
      <c r="R11" s="86">
        <f t="shared" si="1"/>
        <v>20.787565583925574</v>
      </c>
      <c r="S11" s="94">
        <f t="shared" si="2"/>
        <v>29.006516654499642</v>
      </c>
      <c r="T11" s="80">
        <f t="shared" si="9"/>
        <v>18.063800759560745</v>
      </c>
      <c r="W11" s="73"/>
    </row>
    <row r="12" spans="1:24" x14ac:dyDescent="0.25">
      <c r="A12" s="18" t="s">
        <v>205</v>
      </c>
      <c r="B12" s="19">
        <v>0.45</v>
      </c>
      <c r="D12" s="18" t="s">
        <v>83</v>
      </c>
      <c r="E12" s="46">
        <f>(E10/E9)^(1/(2045-2025))-1</f>
        <v>3.704536883566889E-2</v>
      </c>
      <c r="F12" s="28"/>
      <c r="H12" s="59">
        <v>2026</v>
      </c>
      <c r="I12" s="97">
        <f t="shared" si="10"/>
        <v>5576.1929482293908</v>
      </c>
      <c r="J12" s="60">
        <f t="shared" si="4"/>
        <v>28108.564453319577</v>
      </c>
      <c r="K12" s="60">
        <f>IF(H12=Year_Open_to_Traffic?,Calculations!$E$4,K11+(K11*M12))</f>
        <v>27067.506510604038</v>
      </c>
      <c r="L12" s="60">
        <f>IF(AND(H12&gt;=Year_Open_to_Traffic?, Calculations!H12&lt;Year_Open_to_Traffic?+'Inputs &amp; Outputs'!B$21), 1, 0)</f>
        <v>1</v>
      </c>
      <c r="M12" s="81">
        <f t="shared" ref="M12:M36" si="11">IFERROR(_2025_2045_Demand_Growth,_2018_2045_Demand_Growth)</f>
        <v>3.704536883566889E-2</v>
      </c>
      <c r="N12" s="87">
        <f t="shared" ref="N12:N36" si="12">N11*(1+IFERROR(_2025_2045_V_C_Growth,_2018_2045_V_C_Growth))</f>
        <v>0.53824256257040459</v>
      </c>
      <c r="O12" s="88">
        <f t="shared" si="7"/>
        <v>1</v>
      </c>
      <c r="P12" s="84">
        <f t="shared" si="8"/>
        <v>1041.057942715539</v>
      </c>
      <c r="Q12" s="85">
        <f t="shared" si="0"/>
        <v>1</v>
      </c>
      <c r="R12" s="86">
        <f t="shared" si="1"/>
        <v>21.265679592355859</v>
      </c>
      <c r="S12" s="94">
        <f t="shared" si="2"/>
        <v>30.772938459143475</v>
      </c>
      <c r="T12" s="80">
        <f t="shared" si="9"/>
        <v>17.910130357441126</v>
      </c>
      <c r="W12" s="73"/>
    </row>
    <row r="13" spans="1:24" x14ac:dyDescent="0.25">
      <c r="A13" s="18" t="s">
        <v>206</v>
      </c>
      <c r="B13" s="19">
        <v>0.43</v>
      </c>
      <c r="D13" s="18" t="s">
        <v>84</v>
      </c>
      <c r="E13" s="46">
        <f>(E10/E8)^(1/(2045-2018))-1</f>
        <v>4.2401133329345475E-2</v>
      </c>
      <c r="F13" s="28"/>
      <c r="H13" s="15">
        <f t="shared" si="3"/>
        <v>2027</v>
      </c>
      <c r="I13" s="97">
        <f t="shared" si="10"/>
        <v>5782.7650726954043</v>
      </c>
      <c r="J13" s="60">
        <f t="shared" si="4"/>
        <v>29149.856590933974</v>
      </c>
      <c r="K13" s="60">
        <f>IF(H13=Year_Open_to_Traffic?,Calculations!$E$4,K12+(K12*M13))</f>
        <v>28070.232272751233</v>
      </c>
      <c r="L13" s="60">
        <f>IF(AND(H13&gt;=Year_Open_to_Traffic?, Calculations!H13&lt;Year_Open_to_Traffic?+'Inputs &amp; Outputs'!B$21), 1, 0)</f>
        <v>1</v>
      </c>
      <c r="M13" s="81">
        <f t="shared" si="11"/>
        <v>3.704536883566889E-2</v>
      </c>
      <c r="N13" s="87">
        <f t="shared" si="12"/>
        <v>0.55818195682388083</v>
      </c>
      <c r="O13" s="88">
        <f t="shared" si="7"/>
        <v>1</v>
      </c>
      <c r="P13" s="84">
        <f t="shared" si="8"/>
        <v>1079.6243181827413</v>
      </c>
      <c r="Q13" s="85">
        <f t="shared" si="0"/>
        <v>1</v>
      </c>
      <c r="R13" s="86">
        <f t="shared" si="1"/>
        <v>21.754790222980041</v>
      </c>
      <c r="S13" s="94">
        <f t="shared" si="2"/>
        <v>32.646930780753813</v>
      </c>
      <c r="T13" s="80">
        <f t="shared" si="9"/>
        <v>17.757767243461043</v>
      </c>
      <c r="W13" s="73"/>
    </row>
    <row r="14" spans="1:24" x14ac:dyDescent="0.25">
      <c r="H14" s="59">
        <f>H13+1</f>
        <v>2028</v>
      </c>
      <c r="I14" s="97">
        <f t="shared" si="10"/>
        <v>5996.9897377034295</v>
      </c>
      <c r="J14" s="60">
        <f t="shared" si="4"/>
        <v>30229.723779851978</v>
      </c>
      <c r="K14" s="60">
        <f>IF(H14=Year_Open_to_Traffic?,Calculations!$E$4,K13+(K13*M14))</f>
        <v>29110.104380598197</v>
      </c>
      <c r="L14" s="60">
        <f>IF(AND(H14&gt;=Year_Open_to_Traffic?, Calculations!H14&lt;Year_Open_to_Traffic?+'Inputs &amp; Outputs'!B$21), 1, 0)</f>
        <v>1</v>
      </c>
      <c r="M14" s="81">
        <f t="shared" si="11"/>
        <v>3.704536883566889E-2</v>
      </c>
      <c r="N14" s="87">
        <f t="shared" si="12"/>
        <v>0.57886001329183689</v>
      </c>
      <c r="O14" s="88">
        <f t="shared" si="7"/>
        <v>1</v>
      </c>
      <c r="P14" s="84">
        <f t="shared" si="8"/>
        <v>1119.619399253781</v>
      </c>
      <c r="Q14" s="85">
        <f t="shared" si="0"/>
        <v>1</v>
      </c>
      <c r="R14" s="86">
        <f t="shared" si="1"/>
        <v>22.255150398108579</v>
      </c>
      <c r="S14" s="94">
        <f t="shared" si="2"/>
        <v>34.635044385455686</v>
      </c>
      <c r="T14" s="80">
        <f t="shared" si="9"/>
        <v>17.60670029640093</v>
      </c>
      <c r="W14" s="73"/>
    </row>
    <row r="15" spans="1:24" x14ac:dyDescent="0.25">
      <c r="H15" s="15">
        <f t="shared" si="3"/>
        <v>2029</v>
      </c>
      <c r="I15" s="97">
        <f t="shared" si="10"/>
        <v>6219.1504344403738</v>
      </c>
      <c r="J15" s="60">
        <f t="shared" si="4"/>
        <v>31349.595047076986</v>
      </c>
      <c r="K15" s="60">
        <f>IF(H15=Year_Open_to_Traffic?,Calculations!$E$4,K14+(K14*M15))</f>
        <v>30188.498934222276</v>
      </c>
      <c r="L15" s="60">
        <f>IF(AND(H15&gt;=Year_Open_to_Traffic?, Calculations!H15&lt;Year_Open_to_Traffic?+'Inputs &amp; Outputs'!B$21), 1, 0)</f>
        <v>1</v>
      </c>
      <c r="M15" s="81">
        <f t="shared" si="11"/>
        <v>3.704536883566889E-2</v>
      </c>
      <c r="N15" s="87">
        <f t="shared" si="12"/>
        <v>0.60030409598845313</v>
      </c>
      <c r="O15" s="88">
        <f t="shared" si="7"/>
        <v>1</v>
      </c>
      <c r="P15" s="84">
        <f t="shared" si="8"/>
        <v>1161.0961128547096</v>
      </c>
      <c r="Q15" s="85">
        <f t="shared" si="0"/>
        <v>1</v>
      </c>
      <c r="R15" s="86">
        <f t="shared" si="1"/>
        <v>22.767018857265079</v>
      </c>
      <c r="S15" s="94">
        <f t="shared" si="2"/>
        <v>36.744228964079895</v>
      </c>
      <c r="T15" s="80">
        <f t="shared" si="9"/>
        <v>17.456918489650473</v>
      </c>
      <c r="W15" s="73"/>
    </row>
    <row r="16" spans="1:24" x14ac:dyDescent="0.25">
      <c r="H16" s="59">
        <f t="shared" si="3"/>
        <v>2030</v>
      </c>
      <c r="I16" s="97">
        <f t="shared" si="10"/>
        <v>6449.5411561287283</v>
      </c>
      <c r="J16" s="60">
        <f t="shared" si="4"/>
        <v>32510.952358444811</v>
      </c>
      <c r="K16" s="60">
        <f>IF(H16=Year_Open_to_Traffic?,Calculations!$E$4,K15+(K15*M16))</f>
        <v>31306.843011835739</v>
      </c>
      <c r="L16" s="60">
        <f>IF(AND(H16&gt;=Year_Open_to_Traffic?, Calculations!H16&lt;Year_Open_to_Traffic?+'Inputs &amp; Outputs'!B$21), 1, 0)</f>
        <v>1</v>
      </c>
      <c r="M16" s="81">
        <f t="shared" si="11"/>
        <v>3.704536883566889E-2</v>
      </c>
      <c r="N16" s="87">
        <f t="shared" si="12"/>
        <v>0.62254258263790818</v>
      </c>
      <c r="O16" s="88">
        <f t="shared" si="7"/>
        <v>1</v>
      </c>
      <c r="P16" s="84">
        <f t="shared" si="8"/>
        <v>1204.1093466090715</v>
      </c>
      <c r="Q16" s="85">
        <f t="shared" si="0"/>
        <v>1</v>
      </c>
      <c r="R16" s="86">
        <f t="shared" si="1"/>
        <v>23.290660290982171</v>
      </c>
      <c r="S16" s="94">
        <f t="shared" si="2"/>
        <v>38.98185742564506</v>
      </c>
      <c r="T16" s="80">
        <f t="shared" si="9"/>
        <v>17.308410890403668</v>
      </c>
      <c r="W16" s="73"/>
    </row>
    <row r="17" spans="1:23" x14ac:dyDescent="0.25">
      <c r="A17" s="29"/>
      <c r="H17" s="15">
        <f t="shared" si="3"/>
        <v>2031</v>
      </c>
      <c r="I17" s="97">
        <f t="shared" si="10"/>
        <v>6688.4667870783433</v>
      </c>
      <c r="J17" s="60">
        <f t="shared" si="4"/>
        <v>33715.33257976226</v>
      </c>
      <c r="K17" s="60">
        <f>IF(H17=Year_Open_to_Traffic?,Calculations!$E$4,K16+(K16*M17))</f>
        <v>32466.616558289577</v>
      </c>
      <c r="L17" s="60">
        <f>IF(AND(H17&gt;=Year_Open_to_Traffic?, Calculations!H17&lt;Year_Open_to_Traffic?+'Inputs &amp; Outputs'!B$21), 1, 0)</f>
        <v>1</v>
      </c>
      <c r="M17" s="81">
        <f t="shared" si="11"/>
        <v>3.704536883566889E-2</v>
      </c>
      <c r="N17" s="87">
        <f t="shared" si="12"/>
        <v>0.64560490222763933</v>
      </c>
      <c r="O17" s="88">
        <f t="shared" si="7"/>
        <v>1</v>
      </c>
      <c r="P17" s="84">
        <f t="shared" si="8"/>
        <v>1248.7160214726828</v>
      </c>
      <c r="Q17" s="85">
        <f t="shared" si="0"/>
        <v>1</v>
      </c>
      <c r="R17" s="86">
        <f t="shared" si="1"/>
        <v>23.82634547767476</v>
      </c>
      <c r="S17" s="94">
        <f t="shared" si="2"/>
        <v>41.355751670250783</v>
      </c>
      <c r="T17" s="80">
        <f t="shared" si="9"/>
        <v>17.161166658861084</v>
      </c>
      <c r="W17" s="73"/>
    </row>
    <row r="18" spans="1:23" x14ac:dyDescent="0.25">
      <c r="H18" s="59">
        <f t="shared" si="3"/>
        <v>2032</v>
      </c>
      <c r="I18" s="97">
        <f t="shared" si="10"/>
        <v>6936.2435061507822</v>
      </c>
      <c r="J18" s="60">
        <f t="shared" si="4"/>
        <v>34964.329510596799</v>
      </c>
      <c r="K18" s="60">
        <f>IF(H18=Year_Open_to_Traffic?,Calculations!$E$4,K17+(K17*M18))</f>
        <v>33669.354343537649</v>
      </c>
      <c r="L18" s="60">
        <f>IF(AND(H18&gt;=Year_Open_to_Traffic?, Calculations!H18&lt;Year_Open_to_Traffic?+'Inputs &amp; Outputs'!B$21), 1, 0)</f>
        <v>1</v>
      </c>
      <c r="M18" s="81">
        <f t="shared" si="11"/>
        <v>3.704536883566889E-2</v>
      </c>
      <c r="N18" s="87">
        <f t="shared" si="12"/>
        <v>0.66952157395277823</v>
      </c>
      <c r="O18" s="88">
        <f t="shared" si="7"/>
        <v>1</v>
      </c>
      <c r="P18" s="84">
        <f t="shared" si="8"/>
        <v>1294.9751670591504</v>
      </c>
      <c r="Q18" s="85">
        <f t="shared" si="0"/>
        <v>1</v>
      </c>
      <c r="R18" s="86">
        <f t="shared" si="1"/>
        <v>24.374351423661277</v>
      </c>
      <c r="S18" s="94">
        <f t="shared" si="2"/>
        <v>43.874209931471739</v>
      </c>
      <c r="T18" s="80">
        <f t="shared" si="9"/>
        <v>17.015175047438284</v>
      </c>
      <c r="W18" s="73"/>
    </row>
    <row r="19" spans="1:23" x14ac:dyDescent="0.25">
      <c r="H19" s="15">
        <f t="shared" si="3"/>
        <v>2033</v>
      </c>
      <c r="I19" s="97">
        <f t="shared" si="10"/>
        <v>7193.1992051701509</v>
      </c>
      <c r="J19" s="60">
        <f t="shared" si="4"/>
        <v>36259.595993408722</v>
      </c>
      <c r="K19" s="60">
        <f>IF(H19=Year_Open_to_Traffic?,Calculations!$E$4,K18+(K18*M19))</f>
        <v>34916.647993652834</v>
      </c>
      <c r="L19" s="60">
        <f>IF(AND(H19&gt;=Year_Open_to_Traffic?, Calculations!H19&lt;Year_Open_to_Traffic?+'Inputs &amp; Outputs'!B$21), 1, 0)</f>
        <v>1</v>
      </c>
      <c r="M19" s="81">
        <f t="shared" si="11"/>
        <v>3.704536883566889E-2</v>
      </c>
      <c r="N19" s="87">
        <f t="shared" si="12"/>
        <v>0.69432424760329647</v>
      </c>
      <c r="O19" s="88">
        <f t="shared" si="7"/>
        <v>1</v>
      </c>
      <c r="P19" s="84">
        <f t="shared" si="8"/>
        <v>1342.9479997558883</v>
      </c>
      <c r="Q19" s="85">
        <f t="shared" si="0"/>
        <v>1</v>
      </c>
      <c r="R19" s="86">
        <f t="shared" si="1"/>
        <v>24.934961506405479</v>
      </c>
      <c r="S19" s="94">
        <f t="shared" si="2"/>
        <v>46.546035783834057</v>
      </c>
      <c r="T19" s="80">
        <f t="shared" si="9"/>
        <v>16.870425399981496</v>
      </c>
      <c r="W19" s="73"/>
    </row>
    <row r="20" spans="1:23" x14ac:dyDescent="0.25">
      <c r="H20" s="59">
        <f t="shared" si="3"/>
        <v>2034</v>
      </c>
      <c r="I20" s="97">
        <f t="shared" si="10"/>
        <v>7459.6739228341194</v>
      </c>
      <c r="J20" s="60">
        <f t="shared" si="4"/>
        <v>37602.846100816889</v>
      </c>
      <c r="K20" s="60">
        <f>IF(H20=Year_Open_to_Traffic?,Calculations!$E$4,K19+(K19*M20))</f>
        <v>36210.148097082922</v>
      </c>
      <c r="L20" s="60">
        <f>IF(AND(H20&gt;=Year_Open_to_Traffic?, Calculations!H20&lt;Year_Open_to_Traffic?+'Inputs &amp; Outputs'!B$21), 1, 0)</f>
        <v>1</v>
      </c>
      <c r="M20" s="81">
        <f t="shared" si="11"/>
        <v>3.704536883566889E-2</v>
      </c>
      <c r="N20" s="87">
        <f t="shared" si="12"/>
        <v>0.72004574544730893</v>
      </c>
      <c r="O20" s="88">
        <f t="shared" si="7"/>
        <v>1</v>
      </c>
      <c r="P20" s="84">
        <f t="shared" si="8"/>
        <v>1392.6980037339672</v>
      </c>
      <c r="Q20" s="85">
        <f t="shared" si="0"/>
        <v>1</v>
      </c>
      <c r="R20" s="86">
        <f t="shared" si="1"/>
        <v>25.508465621052807</v>
      </c>
      <c r="S20" s="94">
        <f t="shared" si="2"/>
        <v>49.380568916771907</v>
      </c>
      <c r="T20" s="80">
        <f t="shared" si="9"/>
        <v>16.726907150989913</v>
      </c>
      <c r="W20" s="73"/>
    </row>
    <row r="21" spans="1:23" x14ac:dyDescent="0.25">
      <c r="H21" s="15">
        <f t="shared" si="3"/>
        <v>2035</v>
      </c>
      <c r="I21" s="97">
        <f t="shared" si="10"/>
        <v>7736.0202946993304</v>
      </c>
      <c r="J21" s="60">
        <f t="shared" si="4"/>
        <v>38995.857403892544</v>
      </c>
      <c r="K21" s="60">
        <f>IF(H21=Year_Open_to_Traffic?,Calculations!$E$4,K20+(K20*M21))</f>
        <v>37551.566388933556</v>
      </c>
      <c r="L21" s="60">
        <f>IF(AND(H21&gt;=Year_Open_to_Traffic?, Calculations!H21&lt;Year_Open_to_Traffic?+'Inputs &amp; Outputs'!B$21), 1, 0)</f>
        <v>1</v>
      </c>
      <c r="M21" s="81">
        <f t="shared" si="11"/>
        <v>3.704536883566889E-2</v>
      </c>
      <c r="N21" s="87">
        <f t="shared" si="12"/>
        <v>0.74672010566595859</v>
      </c>
      <c r="O21" s="88">
        <f t="shared" si="7"/>
        <v>1</v>
      </c>
      <c r="P21" s="84">
        <f t="shared" si="8"/>
        <v>1444.2910149589879</v>
      </c>
      <c r="Q21" s="85">
        <f t="shared" si="0"/>
        <v>1</v>
      </c>
      <c r="R21" s="86">
        <f t="shared" si="1"/>
        <v>26.095160330337016</v>
      </c>
      <c r="S21" s="94">
        <f t="shared" si="2"/>
        <v>52.387717782637758</v>
      </c>
      <c r="T21" s="80">
        <f t="shared" si="9"/>
        <v>16.584609824844371</v>
      </c>
      <c r="W21" s="73"/>
    </row>
    <row r="22" spans="1:23" x14ac:dyDescent="0.25">
      <c r="H22" s="59">
        <f>H21+1</f>
        <v>2036</v>
      </c>
      <c r="I22" s="97">
        <f t="shared" si="10"/>
        <v>8022.6040198366873</v>
      </c>
      <c r="J22" s="60">
        <f t="shared" si="4"/>
        <v>40440.473324482889</v>
      </c>
      <c r="K22" s="60">
        <f>IF(H22=Year_Open_to_Traffic?,Calculations!$E$4,K21+(K21*M22))</f>
        <v>38942.678016168706</v>
      </c>
      <c r="L22" s="60">
        <f>IF(AND(H22&gt;=Year_Open_to_Traffic?, Calculations!H22&lt;Year_Open_to_Traffic?+'Inputs &amp; Outputs'!B$21), 1, 0)</f>
        <v>1</v>
      </c>
      <c r="M22" s="81">
        <f t="shared" si="11"/>
        <v>3.704536883566889E-2</v>
      </c>
      <c r="N22" s="87">
        <f t="shared" si="12"/>
        <v>0.77438262739736363</v>
      </c>
      <c r="O22" s="88">
        <f t="shared" si="7"/>
        <v>1</v>
      </c>
      <c r="P22" s="84">
        <f t="shared" si="8"/>
        <v>1497.7953083141838</v>
      </c>
      <c r="Q22" s="85">
        <f t="shared" si="0"/>
        <v>1</v>
      </c>
      <c r="R22" s="86">
        <f t="shared" si="1"/>
        <v>26.695349017934767</v>
      </c>
      <c r="S22" s="94">
        <f t="shared" si="2"/>
        <v>55.577994232892564</v>
      </c>
      <c r="T22" s="80">
        <f t="shared" si="9"/>
        <v>16.443523035042798</v>
      </c>
      <c r="W22" s="73"/>
    </row>
    <row r="23" spans="1:23" x14ac:dyDescent="0.25">
      <c r="H23" s="15">
        <f t="shared" si="3"/>
        <v>2037</v>
      </c>
      <c r="I23" s="97">
        <f t="shared" si="10"/>
        <v>8319.8043447740565</v>
      </c>
      <c r="J23" s="60">
        <f t="shared" si="4"/>
        <v>41938.605574677385</v>
      </c>
      <c r="K23" s="60">
        <f>IF(H23=Year_Open_to_Traffic?,Calculations!$E$4,K22+(K22*M23))</f>
        <v>40385.323886726372</v>
      </c>
      <c r="L23" s="60">
        <f>IF(AND(H23&gt;=Year_Open_to_Traffic?, Calculations!H23&lt;Year_Open_to_Traffic?+'Inputs &amp; Outputs'!B$21), 1, 0)</f>
        <v>1</v>
      </c>
      <c r="M23" s="81">
        <f t="shared" si="11"/>
        <v>3.704536883566889E-2</v>
      </c>
      <c r="N23" s="87">
        <f t="shared" si="12"/>
        <v>0.80306991744923328</v>
      </c>
      <c r="O23" s="88">
        <f t="shared" si="7"/>
        <v>1</v>
      </c>
      <c r="P23" s="84">
        <f t="shared" si="8"/>
        <v>1553.2816879510137</v>
      </c>
      <c r="Q23" s="85">
        <f t="shared" si="0"/>
        <v>1</v>
      </c>
      <c r="R23" s="86">
        <f t="shared" si="1"/>
        <v>27.309342045347261</v>
      </c>
      <c r="S23" s="94">
        <f t="shared" si="2"/>
        <v>58.96255026354973</v>
      </c>
      <c r="T23" s="80">
        <f t="shared" si="9"/>
        <v>16.30363648344197</v>
      </c>
      <c r="W23" s="73"/>
    </row>
    <row r="24" spans="1:23" x14ac:dyDescent="0.25">
      <c r="H24" s="59">
        <f t="shared" si="3"/>
        <v>2038</v>
      </c>
      <c r="I24" s="97">
        <f t="shared" si="10"/>
        <v>8628.0145653668114</v>
      </c>
      <c r="J24" s="60">
        <f t="shared" si="4"/>
        <v>43492.236686644952</v>
      </c>
      <c r="K24" s="60">
        <f>IF(H24=Year_Open_to_Traffic?,Calculations!$E$4,K23+(K23*M24))</f>
        <v>41881.413105658103</v>
      </c>
      <c r="L24" s="60">
        <f>IF(AND(H24&gt;=Year_Open_to_Traffic?, Calculations!H24&lt;Year_Open_to_Traffic?+'Inputs &amp; Outputs'!B$21), 1, 0)</f>
        <v>1</v>
      </c>
      <c r="M24" s="81">
        <f t="shared" si="11"/>
        <v>3.704536883566889E-2</v>
      </c>
      <c r="N24" s="87">
        <f t="shared" si="12"/>
        <v>0.83281993874197024</v>
      </c>
      <c r="O24" s="88">
        <f t="shared" si="7"/>
        <v>1</v>
      </c>
      <c r="P24" s="84">
        <f>(J24-K24)*L24</f>
        <v>1610.8235809868493</v>
      </c>
      <c r="Q24" s="85">
        <f t="shared" si="0"/>
        <v>1</v>
      </c>
      <c r="R24" s="86">
        <f t="shared" si="1"/>
        <v>27.93745691239025</v>
      </c>
      <c r="S24" s="94">
        <f t="shared" si="2"/>
        <v>62.553216998322341</v>
      </c>
      <c r="T24" s="80">
        <f t="shared" si="9"/>
        <v>16.164939959506</v>
      </c>
      <c r="W24" s="73"/>
    </row>
    <row r="25" spans="1:23" x14ac:dyDescent="0.25">
      <c r="H25" s="15">
        <f t="shared" si="3"/>
        <v>2039</v>
      </c>
      <c r="I25" s="97">
        <f t="shared" si="10"/>
        <v>8947.6425472603478</v>
      </c>
      <c r="J25" s="60">
        <f t="shared" si="4"/>
        <v>45103.422636189927</v>
      </c>
      <c r="K25" s="60">
        <f>IF(H25=Year_Open_to_Traffic?,Calculations!$E$4,K24+(K24*M25))</f>
        <v>43432.925501516227</v>
      </c>
      <c r="L25" s="60">
        <f>IF(AND(H25&gt;=Year_Open_to_Traffic?, Calculations!H25&lt;Year_Open_to_Traffic?+'Inputs &amp; Outputs'!B$21), 1, 0)</f>
        <v>1</v>
      </c>
      <c r="M25" s="81">
        <f t="shared" si="11"/>
        <v>3.704536883566889E-2</v>
      </c>
      <c r="N25" s="87">
        <f t="shared" si="12"/>
        <v>0.86367206054636569</v>
      </c>
      <c r="O25" s="88">
        <f t="shared" si="7"/>
        <v>1</v>
      </c>
      <c r="P25" s="84">
        <f t="shared" si="8"/>
        <v>1670.4971346737002</v>
      </c>
      <c r="Q25" s="85">
        <f t="shared" si="0"/>
        <v>1</v>
      </c>
      <c r="R25" s="86">
        <f t="shared" si="1"/>
        <v>28.580018421375218</v>
      </c>
      <c r="S25" s="94">
        <f t="shared" si="2"/>
        <v>66.362546045742107</v>
      </c>
      <c r="T25" s="80">
        <f t="shared" si="9"/>
        <v>16.027423339560858</v>
      </c>
      <c r="W25" s="73"/>
    </row>
    <row r="26" spans="1:23" x14ac:dyDescent="0.25">
      <c r="H26" s="59">
        <f t="shared" si="3"/>
        <v>2040</v>
      </c>
      <c r="I26" s="97">
        <f t="shared" si="10"/>
        <v>9279.1112656333316</v>
      </c>
      <c r="J26" s="60">
        <f t="shared" si="4"/>
        <v>46774.295563498643</v>
      </c>
      <c r="K26" s="60">
        <f>IF(H26=Year_Open_to_Traffic?,Calculations!$E$4,K25+(K25*M26))</f>
        <v>45041.914246332024</v>
      </c>
      <c r="L26" s="60">
        <f>IF(AND(H26&gt;=Year_Open_to_Traffic?, Calculations!H26&lt;Year_Open_to_Traffic?+'Inputs &amp; Outputs'!B$21), 1, 0)</f>
        <v>1</v>
      </c>
      <c r="M26" s="81">
        <f t="shared" si="11"/>
        <v>3.704536883566889E-2</v>
      </c>
      <c r="N26" s="87">
        <f t="shared" si="12"/>
        <v>0.89566711058236792</v>
      </c>
      <c r="O26" s="88">
        <f t="shared" si="7"/>
        <v>1</v>
      </c>
      <c r="P26" s="84">
        <f t="shared" si="8"/>
        <v>1732.3813171666188</v>
      </c>
      <c r="Q26" s="85">
        <f t="shared" si="0"/>
        <v>1</v>
      </c>
      <c r="R26" s="86">
        <f t="shared" si="1"/>
        <v>29.237358845066851</v>
      </c>
      <c r="S26" s="94">
        <f t="shared" si="2"/>
        <v>70.403853374821111</v>
      </c>
      <c r="T26" s="80">
        <f t="shared" si="9"/>
        <v>15.891076586055634</v>
      </c>
      <c r="W26" s="73"/>
    </row>
    <row r="27" spans="1:23" x14ac:dyDescent="0.25">
      <c r="H27" s="15">
        <f t="shared" si="3"/>
        <v>2041</v>
      </c>
      <c r="I27" s="97">
        <f t="shared" si="10"/>
        <v>9622.8593649359282</v>
      </c>
      <c r="J27" s="60">
        <f t="shared" si="4"/>
        <v>48507.066594677039</v>
      </c>
      <c r="K27" s="60">
        <f>IF(H27=Year_Open_to_Traffic?,Calculations!$E$4,K26+(K26*M27))</f>
        <v>46710.508572651961</v>
      </c>
      <c r="L27" s="60">
        <f>IF(AND(H27&gt;=Year_Open_to_Traffic?, Calculations!H27&lt;Year_Open_to_Traffic?+'Inputs &amp; Outputs'!B$21), 1, 0)</f>
        <v>1</v>
      </c>
      <c r="M27" s="81">
        <f t="shared" si="11"/>
        <v>3.704536883566889E-2</v>
      </c>
      <c r="N27" s="87">
        <f t="shared" si="12"/>
        <v>0.92884742904786954</v>
      </c>
      <c r="O27" s="88">
        <f t="shared" si="7"/>
        <v>1</v>
      </c>
      <c r="P27" s="84">
        <f t="shared" si="8"/>
        <v>1796.5580220250777</v>
      </c>
      <c r="Q27" s="85">
        <f t="shared" si="0"/>
        <v>1</v>
      </c>
      <c r="R27" s="86">
        <f t="shared" si="1"/>
        <v>29.909818098503379</v>
      </c>
      <c r="S27" s="94">
        <f t="shared" si="2"/>
        <v>74.691265862626167</v>
      </c>
      <c r="T27" s="80">
        <f t="shared" si="9"/>
        <v>15.755889746829626</v>
      </c>
      <c r="W27" s="73"/>
    </row>
    <row r="28" spans="1:23" x14ac:dyDescent="0.25">
      <c r="H28" s="59">
        <f t="shared" si="3"/>
        <v>2042</v>
      </c>
      <c r="I28" s="97">
        <f t="shared" si="10"/>
        <v>9979.3417393637501</v>
      </c>
      <c r="J28" s="60">
        <f t="shared" si="4"/>
        <v>50304.028767813201</v>
      </c>
      <c r="K28" s="60">
        <f>IF(H28=Year_Open_to_Traffic?,Calculations!$E$4,K27+(K27*M28))</f>
        <v>48440.916591227528</v>
      </c>
      <c r="L28" s="60">
        <f>IF(AND(H28&gt;=Year_Open_to_Traffic?, Calculations!H28&lt;Year_Open_to_Traffic?+'Inputs &amp; Outputs'!B$21), 1, 0)</f>
        <v>1</v>
      </c>
      <c r="M28" s="81">
        <f t="shared" si="11"/>
        <v>3.704536883566889E-2</v>
      </c>
      <c r="N28" s="87">
        <f t="shared" si="12"/>
        <v>0.96325692464901069</v>
      </c>
      <c r="O28" s="88">
        <f t="shared" si="7"/>
        <v>1</v>
      </c>
      <c r="P28" s="84">
        <f t="shared" si="8"/>
        <v>1863.1121765856733</v>
      </c>
      <c r="Q28" s="85">
        <f t="shared" si="0"/>
        <v>1</v>
      </c>
      <c r="R28" s="86">
        <f t="shared" si="1"/>
        <v>30.597743914768959</v>
      </c>
      <c r="S28" s="94">
        <f t="shared" si="2"/>
        <v>79.239770676482166</v>
      </c>
      <c r="T28" s="80">
        <f t="shared" si="9"/>
        <v>15.621852954386208</v>
      </c>
      <c r="W28" s="73"/>
    </row>
    <row r="29" spans="1:23" x14ac:dyDescent="0.25">
      <c r="H29" s="15">
        <f t="shared" si="3"/>
        <v>2043</v>
      </c>
      <c r="I29" s="97">
        <f t="shared" si="10"/>
        <v>10349.030134835666</v>
      </c>
      <c r="J29" s="60">
        <f t="shared" si="4"/>
        <v>52167.560067436942</v>
      </c>
      <c r="K29" s="60">
        <f>IF(H29=Year_Open_to_Traffic?,Calculations!$E$4,K28+(K28*M29))</f>
        <v>50235.428213087427</v>
      </c>
      <c r="L29" s="60">
        <f>IF(AND(H29&gt;=Year_Open_to_Traffic?, Calculations!H29&lt;Year_Open_to_Traffic?+'Inputs &amp; Outputs'!B$21), 1, 0)</f>
        <v>1</v>
      </c>
      <c r="M29" s="81">
        <f t="shared" si="11"/>
        <v>3.704536883566889E-2</v>
      </c>
      <c r="N29" s="87">
        <f t="shared" si="12"/>
        <v>0.99894113270614537</v>
      </c>
      <c r="O29" s="88">
        <f t="shared" si="7"/>
        <v>1</v>
      </c>
      <c r="P29" s="84">
        <f t="shared" si="8"/>
        <v>1932.1318543495145</v>
      </c>
      <c r="Q29" s="85">
        <f t="shared" si="0"/>
        <v>1</v>
      </c>
      <c r="R29" s="86">
        <f t="shared" si="1"/>
        <v>31.301492024808638</v>
      </c>
      <c r="S29" s="94">
        <f t="shared" si="2"/>
        <v>84.065267663422077</v>
      </c>
      <c r="T29" s="80">
        <f t="shared" si="9"/>
        <v>15.488956425172441</v>
      </c>
      <c r="W29" s="73"/>
    </row>
    <row r="30" spans="1:23" x14ac:dyDescent="0.25">
      <c r="H30" s="15">
        <f t="shared" si="3"/>
        <v>2044</v>
      </c>
      <c r="I30" s="97">
        <f t="shared" si="10"/>
        <v>10732.413773272105</v>
      </c>
      <c r="J30" s="60">
        <f t="shared" si="4"/>
        <v>54100.126571392058</v>
      </c>
      <c r="K30" s="60">
        <f>IF(H30=Year_Open_to_Traffic?,Calculations!$E$4,K29+(K29*M30))</f>
        <v>52096.418179859014</v>
      </c>
      <c r="L30" s="60">
        <f>IF(AND(H30&gt;=Year_Open_to_Traffic?, Calculations!H30&lt;Year_Open_to_Traffic?+'Inputs &amp; Outputs'!B$21), 1, 0)</f>
        <v>0</v>
      </c>
      <c r="M30" s="81">
        <f t="shared" si="11"/>
        <v>3.704536883566889E-2</v>
      </c>
      <c r="N30" s="87">
        <f t="shared" si="12"/>
        <v>1.0359472754123653</v>
      </c>
      <c r="O30" s="88">
        <f t="shared" si="7"/>
        <v>0</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11129.999999999982</v>
      </c>
      <c r="J31" s="60">
        <f t="shared" si="4"/>
        <v>56104.285714285652</v>
      </c>
      <c r="K31" s="60">
        <f>IF(H31=Year_Open_to_Traffic?,Calculations!$E$4,K30+(K30*M31))</f>
        <v>54026.349206349136</v>
      </c>
      <c r="L31" s="60">
        <f>IF(AND(H31&gt;=Year_Open_to_Traffic?, Calculations!H31&lt;Year_Open_to_Traffic?+'Inputs &amp; Outputs'!B$21), 1, 0)</f>
        <v>0</v>
      </c>
      <c r="M31" s="81">
        <f t="shared" si="11"/>
        <v>3.704536883566889E-2</v>
      </c>
      <c r="N31" s="87">
        <f t="shared" si="12"/>
        <v>1.0743243243243226</v>
      </c>
      <c r="O31" s="88">
        <f t="shared" si="7"/>
        <v>0</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11542.314955140975</v>
      </c>
      <c r="J32" s="60">
        <f t="shared" si="4"/>
        <v>58182.689671833112</v>
      </c>
      <c r="K32" s="60">
        <f>IF(H32=Year_Open_to_Traffic?,Calculations!$E$4,K31+(K31*M32))</f>
        <v>56027.775239542985</v>
      </c>
      <c r="L32" s="60">
        <f>IF(AND(H32&gt;=Year_Open_to_Traffic?, Calculations!H32&lt;Year_Open_to_Traffic?+'Inputs &amp; Outputs'!B$21), 1, 0)</f>
        <v>0</v>
      </c>
      <c r="M32" s="81">
        <f t="shared" si="11"/>
        <v>3.704536883566889E-2</v>
      </c>
      <c r="N32" s="87">
        <f t="shared" si="12"/>
        <v>1.1141230651680478</v>
      </c>
      <c r="O32" s="88">
        <f t="shared" si="7"/>
        <v>0</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11969.904269871629</v>
      </c>
      <c r="J33" s="60">
        <f t="shared" si="4"/>
        <v>60338.088870577434</v>
      </c>
      <c r="K33" s="60">
        <f>IF(H33=Year_Open_to_Traffic?,Calculations!$E$4,K32+(K32*M33))</f>
        <v>58103.344838333811</v>
      </c>
      <c r="L33" s="60">
        <f>IF(AND(H33&gt;=Year_Open_to_Traffic?, Calculations!H33&lt;Year_Open_to_Traffic?+'Inputs &amp; Outputs'!B$21), 1, 0)</f>
        <v>0</v>
      </c>
      <c r="M33" s="81">
        <f t="shared" si="11"/>
        <v>3.704536883566889E-2</v>
      </c>
      <c r="N33" s="87">
        <f t="shared" si="12"/>
        <v>1.1553961650455242</v>
      </c>
      <c r="O33" s="88">
        <f t="shared" si="7"/>
        <v>0</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12413.333788476672</v>
      </c>
      <c r="J34" s="60">
        <f t="shared" si="4"/>
        <v>62573.335627627341</v>
      </c>
      <c r="K34" s="60">
        <f>IF(H34=Year_Open_to_Traffic?,Calculations!$E$4,K33+(K33*M34))</f>
        <v>60255.804678455948</v>
      </c>
      <c r="L34" s="60">
        <f>IF(AND(H34&gt;=Year_Open_to_Traffic?, Calculations!H34&lt;Year_Open_to_Traffic?+'Inputs &amp; Outputs'!B$21), 1, 0)</f>
        <v>0</v>
      </c>
      <c r="M34" s="81">
        <f t="shared" si="11"/>
        <v>3.704536883566889E-2</v>
      </c>
      <c r="N34" s="87">
        <f t="shared" si="12"/>
        <v>1.1981982421309529</v>
      </c>
      <c r="O34" s="88">
        <f t="shared" si="7"/>
        <v>0</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12873.19031715106</v>
      </c>
      <c r="J35" s="60">
        <f t="shared" si="4"/>
        <v>64891.387925230898</v>
      </c>
      <c r="K35" s="60">
        <f>IF(H35=Year_Open_to_Traffic?,Calculations!$E$4,K34+(K34*M35))</f>
        <v>62488.003187259375</v>
      </c>
      <c r="L35" s="60">
        <f>IF(AND(H35&gt;=Year_Open_to_Traffic?, Calculations!H35&lt;Year_Open_to_Traffic?+'Inputs &amp; Outputs'!B$21), 1, 0)</f>
        <v>0</v>
      </c>
      <c r="M35" s="81">
        <f t="shared" si="11"/>
        <v>3.704536883566889E-2</v>
      </c>
      <c r="N35" s="87">
        <f t="shared" si="12"/>
        <v>1.2425859379489441</v>
      </c>
      <c r="O35" s="88">
        <f t="shared" si="7"/>
        <v>0</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13350.082400541683</v>
      </c>
      <c r="J36" s="60">
        <f t="shared" si="4"/>
        <v>67295.313325179552</v>
      </c>
      <c r="K36" s="60">
        <f>IF(H36=Year_Open_to_Traffic?,Calculations!$E$4,K35+(K35*M36))</f>
        <v>64802.894313135854</v>
      </c>
      <c r="L36" s="60">
        <f>IF(AND(H36&gt;=Year_Open_to_Traffic?, Calculations!H36&lt;Year_Open_to_Traffic?+'Inputs &amp; Outputs'!B$21), 1, 0)</f>
        <v>0</v>
      </c>
      <c r="M36" s="81">
        <f t="shared" si="11"/>
        <v>3.704536883566889E-2</v>
      </c>
      <c r="N36" s="87">
        <f t="shared" si="12"/>
        <v>1.2886179923302783</v>
      </c>
      <c r="O36" s="88">
        <f t="shared" si="7"/>
        <v>0</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336.01968824867299</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Drew Davis</cp:lastModifiedBy>
  <cp:lastPrinted>2018-10-17T20:48:46Z</cp:lastPrinted>
  <dcterms:created xsi:type="dcterms:W3CDTF">2012-07-25T15:48:32Z</dcterms:created>
  <dcterms:modified xsi:type="dcterms:W3CDTF">2018-10-24T19:07:32Z</dcterms:modified>
</cp:coreProperties>
</file>