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Engineering\Transportation and Mobility Program\Funding Options\H-GAC TIP 2019-2022\3 - Application\P5 - Williams Trace Reconstruction\"/>
    </mc:Choice>
  </mc:AlternateContent>
  <bookViews>
    <workbookView xWindow="0" yWindow="0" windowWidth="28800" windowHeight="1140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62913"/>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<sst xmlns="http://schemas.openxmlformats.org/spreadsheetml/2006/main" count="292" uniqueCount="238">
  <si>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</si>
  <si>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</si>
  <si>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</si>
  <si>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</si>
  <si>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</si>
  <si>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</si>
  <si>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</si>
  <si>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</si>
  <si>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</si>
  <si>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</si>
  <si>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</si>
  <si>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</si>
  <si>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</si>
  <si>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</si>
  <si>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</si>
  <si>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</si>
  <si>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</si>
  <si>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</si>
  <si>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</si>
  <si>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</si>
  <si>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</si>
  <si>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</si>
  <si>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</si>
  <si>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</si>
  <si>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</si>
  <si>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</si>
  <si>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</si>
  <si>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</si>
  <si>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</si>
  <si>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</si>
  <si>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</si>
  <si>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</si>
  <si>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</si>
  <si>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</si>
  <si>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</si>
  <si>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</si>
  <si>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</si>
  <si>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</si>
  <si>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</si>
  <si>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</si>
  <si>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</si>
  <si>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</si>
  <si>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</si>
  <si>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</si>
  <si>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</si>
  <si>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</si>
  <si>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</si>
  <si>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</si>
  <si>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</si>
  <si>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</si>
  <si>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</si>
  <si>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</si>
  <si>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</si>
  <si>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</si>
  <si>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</si>
  <si>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</si>
  <si>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</si>
  <si>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</si>
  <si>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</si>
  <si>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</si>
  <si>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</si>
  <si>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</si>
  <si>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</si>
  <si>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</si>
  <si>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</si>
  <si>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</si>
  <si>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</si>
  <si>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</si>
  <si>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</si>
  <si>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</si>
  <si>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</si>
  <si>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</si>
  <si>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</si>
  <si>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</si>
  <si>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</si>
  <si>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</si>
  <si>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</si>
  <si>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</si>
  <si>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</si>
  <si>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</si>
  <si>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</si>
  <si>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</si>
  <si>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</si>
  <si>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</si>
  <si>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</si>
  <si>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</si>
  <si>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</si>
  <si>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</si>
  <si>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</si>
  <si>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</si>
  <si>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</si>
  <si>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</si>
  <si>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</si>
  <si>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</si>
  <si>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</si>
  <si>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</si>
  <si>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</si>
  <si>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</si>
  <si>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</si>
  <si>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</si>
  <si>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</si>
  <si>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</si>
  <si>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</si>
  <si>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</si>
  <si>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</si>
  <si>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</si>
  <si>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</si>
  <si>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</si>
  <si>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</si>
  <si>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</si>
  <si>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</si>
  <si>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</si>
  <si>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</si>
  <si>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</si>
  <si>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</si>
  <si>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</si>
  <si>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</si>
  <si>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</si>
  <si>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</si>
  <si>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</si>
  <si>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</si>
  <si>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</si>
  <si>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</si>
  <si>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</si>
  <si>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</si>
  <si>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</si>
  <si>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</si>
  <si>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</si>
  <si>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</si>
  <si>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</si>
  <si>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</si>
  <si>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</si>
  <si>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</si>
  <si>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</si>
  <si>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</si>
  <si>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</si>
  <si>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</si>
  <si>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</si>
  <si>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</si>
  <si>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</si>
  <si>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</si>
  <si>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</si>
  <si>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</si>
  <si>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</si>
  <si>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</si>
  <si>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</si>
  <si>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</si>
  <si>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</si>
  <si>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</si>
  <si>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</si>
  <si>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</si>
  <si>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</si>
  <si>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</si>
  <si>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</si>
  <si>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</si>
  <si>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</si>
  <si>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</si>
  <si>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</si>
  <si>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</si>
  <si>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</si>
  <si>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</si>
  <si>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</si>
  <si>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</si>
  <si>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</si>
  <si>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</si>
  <si>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</si>
  <si>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</si>
  <si>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</si>
  <si>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</si>
  <si>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</si>
  <si>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</si>
  <si>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</si>
  <si>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</si>
  <si>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</si>
  <si>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</si>
  <si>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</si>
  <si>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</si>
  <si>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</si>
  <si>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</si>
  <si>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</si>
  <si>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</si>
  <si>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</si>
  <si>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</si>
  <si>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</si>
  <si>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</si>
  <si>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</si>
  <si>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</si>
  <si>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</si>
  <si>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</si>
  <si>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</si>
  <si>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</si>
  <si>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</si>
  <si>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</si>
  <si>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</si>
  <si>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</si>
  <si>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</si>
  <si>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</si>
  <si>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</si>
  <si>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</si>
  <si>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</si>
  <si>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</si>
  <si>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</si>
  <si>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</si>
  <si>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</si>
  <si>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</si>
  <si>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</si>
  <si>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</si>
  <si>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</si>
  <si>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</si>
  <si>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</si>
  <si>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</si>
  <si>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</si>
  <si>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</si>
  <si>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</si>
  <si>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</si>
  <si>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</si>
  <si>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</si>
  <si>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</si>
  <si>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</si>
  <si>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</si>
  <si>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</si>
  <si>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</si>
  <si>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</si>
  <si>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</si>
  <si>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</si>
  <si>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</si>
  <si>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</si>
  <si>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</si>
  <si>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</si>
  <si>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</si>
  <si>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</si>
  <si>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</si>
  <si>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</si>
  <si>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Williams Trace Blvd Reconstruction</t>
  </si>
  <si>
    <t>Williams Trace Blvd</t>
  </si>
  <si>
    <t>SH6</t>
  </si>
  <si>
    <t>Lexington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</si>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</sst>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49" t="s">
        <v>40</v>
      </c>
      <c r="E6" s="150"/>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49" t="s">
        <v>40</v>
      </c>
      <c r="E6" s="150"/>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49" t="s">
        <v>41</v>
      </c>
      <c r="E8" s="150"/>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zoomScale="115" zoomScaleNormal="115" workbookViewId="0">
      <selection activeCell="B39" sqref="B39"/>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45" x14ac:dyDescent="0.25">
      <c r="A6" s="8" t="s">
        <v>97</v>
      </c>
      <c r="B6" s="137" t="s">
        <v>233</v>
      </c>
      <c r="D6" s="8"/>
      <c r="E6" s="103" t="s">
        <v>187</v>
      </c>
    </row>
    <row r="7" spans="1:7" x14ac:dyDescent="0.25">
      <c r="A7" s="8" t="s">
        <v>98</v>
      </c>
      <c r="B7" s="138" t="s">
        <v>199</v>
      </c>
      <c r="D7" s="104"/>
      <c r="E7" s="103" t="s">
        <v>196</v>
      </c>
    </row>
    <row r="8" spans="1:7" x14ac:dyDescent="0.25">
      <c r="A8" s="8" t="s">
        <v>99</v>
      </c>
      <c r="B8" s="138" t="s">
        <v>206</v>
      </c>
      <c r="D8" s="105"/>
      <c r="E8" s="103" t="s">
        <v>216</v>
      </c>
    </row>
    <row r="9" spans="1:7" x14ac:dyDescent="0.25">
      <c r="A9" s="8" t="s">
        <v>100</v>
      </c>
      <c r="B9" s="138" t="s">
        <v>234</v>
      </c>
      <c r="D9" s="106"/>
      <c r="E9" s="103" t="s">
        <v>188</v>
      </c>
    </row>
    <row r="10" spans="1:7" x14ac:dyDescent="0.25">
      <c r="A10" s="8" t="s">
        <v>101</v>
      </c>
      <c r="B10" s="138" t="s">
        <v>235</v>
      </c>
    </row>
    <row r="11" spans="1:7" x14ac:dyDescent="0.25">
      <c r="A11" s="8" t="s">
        <v>102</v>
      </c>
      <c r="B11" s="138" t="s">
        <v>236</v>
      </c>
    </row>
    <row r="12" spans="1:7" x14ac:dyDescent="0.25">
      <c r="A12" s="8" t="s">
        <v>103</v>
      </c>
      <c r="B12" s="138">
        <v>0.7</v>
      </c>
    </row>
    <row r="13" spans="1:7" x14ac:dyDescent="0.25">
      <c r="A13" s="8" t="s">
        <v>68</v>
      </c>
      <c r="B13" s="138">
        <v>220</v>
      </c>
      <c r="F13" s="120"/>
    </row>
    <row r="14" spans="1:7" x14ac:dyDescent="0.25">
      <c r="A14" s="8" t="s">
        <v>69</v>
      </c>
      <c r="B14" s="138" t="s">
        <v>237</v>
      </c>
    </row>
    <row r="17" spans="1:7" x14ac:dyDescent="0.25">
      <c r="A17" s="119" t="s">
        <v>120</v>
      </c>
      <c r="E17" s="151" t="s">
        <v>231</v>
      </c>
      <c r="F17" s="152"/>
    </row>
    <row r="18" spans="1:7" x14ac:dyDescent="0.25">
      <c r="A18" s="8" t="s">
        <v>79</v>
      </c>
      <c r="B18" s="139">
        <v>2023</v>
      </c>
      <c r="E18" s="105" t="s">
        <v>232</v>
      </c>
      <c r="F18" s="145">
        <f>$B$12/$B$32</f>
        <v>2.3333333333333331E-2</v>
      </c>
    </row>
    <row r="19" spans="1:7" ht="30" x14ac:dyDescent="0.25">
      <c r="A19" s="8" t="s">
        <v>121</v>
      </c>
      <c r="B19" s="140" t="s">
        <v>128</v>
      </c>
      <c r="E19" s="107" t="s">
        <v>212</v>
      </c>
      <c r="F19" s="146">
        <f>$B$12/$B$33</f>
        <v>4.1176470588235294E-2</v>
      </c>
    </row>
    <row r="20" spans="1:7" ht="30" x14ac:dyDescent="0.25">
      <c r="A20" s="135" t="s">
        <v>208</v>
      </c>
      <c r="B20" s="136">
        <f>VLOOKUP(B19,'Delay Reduction Factors'!B4:C80,2, FALSE)</f>
        <v>0.4</v>
      </c>
      <c r="E20" s="107" t="s">
        <v>209</v>
      </c>
      <c r="F20" s="145">
        <f>$F$19-$F$18</f>
        <v>1.7843137254901963E-2</v>
      </c>
    </row>
    <row r="21" spans="1:7" x14ac:dyDescent="0.25">
      <c r="A21" s="8" t="s">
        <v>104</v>
      </c>
      <c r="B21" s="79">
        <v>20</v>
      </c>
      <c r="D21" s="121"/>
      <c r="E21" s="105" t="s">
        <v>210</v>
      </c>
      <c r="F21" s="145">
        <f>$F$20*$B$20</f>
        <v>7.1372549019607856E-3</v>
      </c>
      <c r="G21" s="122"/>
    </row>
    <row r="22" spans="1:7" s="113" customFormat="1" x14ac:dyDescent="0.25">
      <c r="D22" s="121"/>
      <c r="E22" s="105" t="s">
        <v>211</v>
      </c>
      <c r="F22" s="145">
        <f>$F$20-$F$21</f>
        <v>1.0705882352941176E-2</v>
      </c>
      <c r="G22" s="122"/>
    </row>
    <row r="23" spans="1:7" x14ac:dyDescent="0.25">
      <c r="E23" s="105" t="s">
        <v>213</v>
      </c>
      <c r="F23" s="145">
        <f>$F$18+$F$22</f>
        <v>3.4039215686274507E-2</v>
      </c>
    </row>
    <row r="24" spans="1:7" x14ac:dyDescent="0.25">
      <c r="A24" s="119" t="s">
        <v>94</v>
      </c>
      <c r="B24" s="123"/>
      <c r="D24" s="121"/>
      <c r="G24" s="124"/>
    </row>
    <row r="25" spans="1:7" x14ac:dyDescent="0.25">
      <c r="A25" s="8" t="s">
        <v>218</v>
      </c>
      <c r="B25" s="141">
        <v>43347</v>
      </c>
      <c r="D25" s="121"/>
      <c r="G25" s="124"/>
    </row>
    <row r="28" spans="1:7" x14ac:dyDescent="0.25">
      <c r="A28" s="105" t="s">
        <v>227</v>
      </c>
      <c r="B28" s="134">
        <f>IF(FacilityType='Delay Reduction Factors'!N5,'Inputs &amp; Outputs'!B25*45%, B25*43%)</f>
        <v>18639.21</v>
      </c>
      <c r="D28" s="121"/>
      <c r="E28" s="125" t="s">
        <v>95</v>
      </c>
      <c r="F28" s="126" t="s">
        <v>20</v>
      </c>
      <c r="G28" s="127" t="s">
        <v>19</v>
      </c>
    </row>
    <row r="29" spans="1:7" x14ac:dyDescent="0.25">
      <c r="A29" s="105" t="s">
        <v>228</v>
      </c>
      <c r="B29" s="115">
        <f>VLOOKUP(Year_Open_to_Traffic?,Calculations!H4:I36,2)</f>
        <v>20251.629598276708</v>
      </c>
      <c r="D29" s="121"/>
      <c r="E29" s="107" t="s">
        <v>122</v>
      </c>
      <c r="F29" s="101">
        <f>$B$29*$F$23</f>
        <v>689.34958789428163</v>
      </c>
      <c r="G29" s="102">
        <f>$B$29*$F$19</f>
        <v>833.89063051727624</v>
      </c>
    </row>
    <row r="30" spans="1:7" x14ac:dyDescent="0.25">
      <c r="A30" s="124"/>
      <c r="B30" s="100"/>
      <c r="D30" s="121"/>
    </row>
    <row r="32" spans="1:7" x14ac:dyDescent="0.25">
      <c r="A32" s="128" t="s">
        <v>221</v>
      </c>
      <c r="B32" s="142">
        <v>30</v>
      </c>
      <c r="D32" s="121"/>
    </row>
    <row r="33" spans="1:7" ht="30" x14ac:dyDescent="0.25">
      <c r="A33" s="129" t="s">
        <v>222</v>
      </c>
      <c r="B33" s="143">
        <v>17</v>
      </c>
      <c r="D33" s="121"/>
      <c r="E33" s="121"/>
      <c r="F33" s="130"/>
      <c r="G33" s="117"/>
    </row>
    <row r="34" spans="1:7" x14ac:dyDescent="0.25">
      <c r="A34" s="131"/>
      <c r="B34" s="144"/>
      <c r="E34" s="117"/>
      <c r="F34" s="130"/>
      <c r="G34" s="130"/>
    </row>
    <row r="35" spans="1:7" x14ac:dyDescent="0.25">
      <c r="A35" s="105" t="s">
        <v>223</v>
      </c>
      <c r="B35" s="148">
        <f>$B$28</f>
        <v>18639.21</v>
      </c>
    </row>
    <row r="36" spans="1:7" x14ac:dyDescent="0.25">
      <c r="A36" s="128" t="s">
        <v>224</v>
      </c>
      <c r="B36" s="142">
        <v>23100</v>
      </c>
    </row>
    <row r="37" spans="1:7" x14ac:dyDescent="0.25">
      <c r="A37" s="128" t="s">
        <v>229</v>
      </c>
      <c r="B37" s="142">
        <v>20935</v>
      </c>
    </row>
    <row r="38" spans="1:7" x14ac:dyDescent="0.25">
      <c r="A38" s="128" t="s">
        <v>225</v>
      </c>
      <c r="B38" s="142">
        <v>23100</v>
      </c>
    </row>
    <row r="39" spans="1:7" x14ac:dyDescent="0.25">
      <c r="A39" s="128" t="s">
        <v>230</v>
      </c>
      <c r="B39" s="142">
        <v>22700</v>
      </c>
    </row>
    <row r="40" spans="1:7" x14ac:dyDescent="0.25">
      <c r="A40" s="128" t="s">
        <v>226</v>
      </c>
      <c r="B40" s="142">
        <v>23100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10550.170592333208</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179230.89285251324</v>
      </c>
      <c r="F4" s="22">
        <f>'Inputs &amp; Outputs'!G29*Annual_Days_of_Travel</f>
        <v>216811.56393449183</v>
      </c>
      <c r="H4" s="59">
        <v>2018</v>
      </c>
      <c r="I4" s="60">
        <f>'Inputs &amp; Outputs'!B28</f>
        <v>18639.21</v>
      </c>
      <c r="J4" s="60">
        <f>IF(H4=Year_Open_to_Traffic?,$F$4,0)</f>
        <v>0</v>
      </c>
      <c r="K4" s="60">
        <f>IF(H4=Year_Open_to_Traffic?,Calculations!$E$4,0)</f>
        <v>0</v>
      </c>
      <c r="L4" s="60">
        <f>IF(AND(H4&gt;=Year_Open_to_Traffic?, Calculations!H4&lt;Year_Open_to_Traffic?+'Inputs &amp; Outputs'!B$21), 1, 0)</f>
        <v>0</v>
      </c>
      <c r="M4" s="81" t="s">
        <v>75</v>
      </c>
      <c r="N4" s="82">
        <f>MIN(E8,1)</f>
        <v>0.80689220779220772</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1.673200549255105E-2</v>
      </c>
      <c r="F5" s="28"/>
      <c r="H5" s="15">
        <f t="shared" ref="H5:H36" si="3">H4+1</f>
        <v>2019</v>
      </c>
      <c r="I5" s="97">
        <f>(I4*M5)+I4</f>
        <v>18951.081364096812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1.673200549255105E-2</v>
      </c>
      <c r="N5" s="87">
        <f t="shared" ref="N5:N11" si="6">N4*(1+IFERROR(_2018_2025_V_C_Growth,_2018_2045_V_C_Growth))</f>
        <v>0.82039313264488356</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4.0553269255807489E-3</v>
      </c>
      <c r="F6" s="28"/>
      <c r="H6" s="59">
        <f t="shared" si="3"/>
        <v>2020</v>
      </c>
      <c r="I6" s="97">
        <f t="shared" ref="I6:I36" si="10">(I5*M6)+I5</f>
        <v>19268.17096157066</v>
      </c>
      <c r="J6" s="60">
        <f t="shared" si="4"/>
        <v>0</v>
      </c>
      <c r="K6" s="60">
        <f>IF(H6=Year_Open_to_Traffic?,Calculations!$E$4,K5+(K5*M6))</f>
        <v>0</v>
      </c>
      <c r="L6" s="60">
        <f>IF(AND(H6&gt;=Year_Open_to_Traffic?, Calculations!H6&lt;Year_Open_to_Traffic?+'Inputs &amp; Outputs'!B$21), 1, 0)</f>
        <v>0</v>
      </c>
      <c r="M6" s="81">
        <f t="shared" si="5"/>
        <v>1.673200549255105E-2</v>
      </c>
      <c r="N6" s="87">
        <f t="shared" si="6"/>
        <v>0.83411995504634895</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7.3266166128782562E-3</v>
      </c>
      <c r="F7" s="28"/>
      <c r="H7" s="15">
        <f t="shared" si="3"/>
        <v>2021</v>
      </c>
      <c r="I7" s="97">
        <f t="shared" si="10"/>
        <v>19590.566103931073</v>
      </c>
      <c r="J7" s="60">
        <f t="shared" si="4"/>
        <v>0</v>
      </c>
      <c r="K7" s="60">
        <f>IF(H7=Year_Open_to_Traffic?,Calculations!$E$4,K6+(K6*M7))</f>
        <v>0</v>
      </c>
      <c r="L7" s="60">
        <f>IF(AND(H7&gt;=Year_Open_to_Traffic?, Calculations!H7&lt;Year_Open_to_Traffic?+'Inputs &amp; Outputs'!B$21), 1, 0)</f>
        <v>0</v>
      </c>
      <c r="M7" s="81">
        <f t="shared" si="5"/>
        <v>1.673200549255105E-2</v>
      </c>
      <c r="N7" s="87">
        <f t="shared" si="6"/>
        <v>0.84807645471563087</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0.80689220779220772</v>
      </c>
      <c r="F8" s="28"/>
      <c r="H8" s="59">
        <f t="shared" si="3"/>
        <v>2022</v>
      </c>
      <c r="I8" s="97">
        <f t="shared" si="10"/>
        <v>19918.355563584231</v>
      </c>
      <c r="J8" s="60">
        <f t="shared" si="4"/>
        <v>0</v>
      </c>
      <c r="K8" s="60">
        <f>IF(H8=Year_Open_to_Traffic?,Calculations!$E$4,K7+(K7*M8))</f>
        <v>0</v>
      </c>
      <c r="L8" s="60">
        <f>IF(AND(H8&gt;=Year_Open_to_Traffic?, Calculations!H8&lt;Year_Open_to_Traffic?+'Inputs &amp; Outputs'!B$21), 1, 0)</f>
        <v>0</v>
      </c>
      <c r="M8" s="81">
        <f t="shared" si="5"/>
        <v>1.673200549255105E-2</v>
      </c>
      <c r="N8" s="87">
        <f t="shared" si="6"/>
        <v>0.86226647461403605</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20</v>
      </c>
      <c r="D9" s="18" t="s">
        <v>65</v>
      </c>
      <c r="E9" s="23">
        <f>_2025_PeakVolume/_2025_Capacity</f>
        <v>0.90627705627705624</v>
      </c>
      <c r="F9" s="28"/>
      <c r="H9" s="15">
        <f t="shared" si="3"/>
        <v>2023</v>
      </c>
      <c r="I9" s="97">
        <f t="shared" si="10"/>
        <v>20251.629598276708</v>
      </c>
      <c r="J9" s="60">
        <f t="shared" si="4"/>
        <v>216811.56393449183</v>
      </c>
      <c r="K9" s="60">
        <f>IF(H9=Year_Open_to_Traffic?,Calculations!$E$4,K8+(K8*M9))</f>
        <v>179230.89285251324</v>
      </c>
      <c r="L9" s="60">
        <f>IF(AND(H9&gt;=Year_Open_to_Traffic?, Calculations!H9&lt;Year_Open_to_Traffic?+'Inputs &amp; Outputs'!B$21), 1, 0)</f>
        <v>1</v>
      </c>
      <c r="M9" s="81">
        <f t="shared" si="5"/>
        <v>1.673200549255105E-2</v>
      </c>
      <c r="N9" s="87">
        <f t="shared" si="6"/>
        <v>0.87669392200332075</v>
      </c>
      <c r="O9" s="88">
        <f t="shared" si="7"/>
        <v>1</v>
      </c>
      <c r="P9" s="84">
        <f t="shared" si="8"/>
        <v>37580.671081978595</v>
      </c>
      <c r="Q9" s="85">
        <f t="shared" si="0"/>
        <v>1</v>
      </c>
      <c r="R9" s="86">
        <f t="shared" si="1"/>
        <v>19.863344048684343</v>
      </c>
      <c r="S9" s="94">
        <f t="shared" si="2"/>
        <v>1037.6041410016787</v>
      </c>
      <c r="T9" s="80">
        <f t="shared" si="9"/>
        <v>739.79741230922048</v>
      </c>
      <c r="W9" s="73"/>
    </row>
    <row r="10" spans="1:24" x14ac:dyDescent="0.25">
      <c r="D10" s="18" t="s">
        <v>82</v>
      </c>
      <c r="E10" s="23">
        <f>_2045_PeakVolume/_2045_Capacity</f>
        <v>0.98268398268398272</v>
      </c>
      <c r="F10" s="28"/>
      <c r="H10" s="59">
        <f t="shared" si="3"/>
        <v>2024</v>
      </c>
      <c r="I10" s="97">
        <f t="shared" si="10"/>
        <v>20590.479975948183</v>
      </c>
      <c r="J10" s="60">
        <f t="shared" si="4"/>
        <v>220439.25621309233</v>
      </c>
      <c r="K10" s="60">
        <f>IF(H10=Year_Open_to_Traffic?,Calculations!$E$4,K9+(K9*M10))</f>
        <v>182229.78513615631</v>
      </c>
      <c r="L10" s="60">
        <f>IF(AND(H10&gt;=Year_Open_to_Traffic?, Calculations!H10&lt;Year_Open_to_Traffic?+'Inputs &amp; Outputs'!B$21), 1, 0)</f>
        <v>1</v>
      </c>
      <c r="M10" s="81">
        <f t="shared" si="5"/>
        <v>1.673200549255105E-2</v>
      </c>
      <c r="N10" s="87">
        <f t="shared" si="6"/>
        <v>0.89136276952156646</v>
      </c>
      <c r="O10" s="88">
        <f t="shared" si="7"/>
        <v>1</v>
      </c>
      <c r="P10" s="84">
        <f>(J10-K10)*L10</f>
        <v>38209.471076936024</v>
      </c>
      <c r="Q10" s="85">
        <f t="shared" si="0"/>
        <v>1</v>
      </c>
      <c r="R10" s="86">
        <f t="shared" si="1"/>
        <v>20.320200961804083</v>
      </c>
      <c r="S10" s="94">
        <f t="shared" si="2"/>
        <v>1079.2295419893371</v>
      </c>
      <c r="T10" s="80">
        <f t="shared" si="9"/>
        <v>719.13621301765124</v>
      </c>
      <c r="W10" s="73"/>
    </row>
    <row r="11" spans="1:24" ht="30" customHeight="1" x14ac:dyDescent="0.25">
      <c r="A11" s="153" t="s">
        <v>219</v>
      </c>
      <c r="B11" s="154"/>
      <c r="D11" s="18" t="s">
        <v>70</v>
      </c>
      <c r="E11" s="46">
        <f>(E9/E8)^(1/(2025-2018))-1</f>
        <v>1.673200549255105E-2</v>
      </c>
      <c r="F11" s="28"/>
      <c r="H11" s="15">
        <f t="shared" si="3"/>
        <v>2025</v>
      </c>
      <c r="I11" s="97">
        <f t="shared" si="10"/>
        <v>20935.000000000011</v>
      </c>
      <c r="J11" s="60">
        <f t="shared" si="4"/>
        <v>224127.64705882367</v>
      </c>
      <c r="K11" s="60">
        <f>IF(H11=Year_Open_to_Traffic?,Calculations!$E$4,K10+(K10*M11))</f>
        <v>185278.85490196088</v>
      </c>
      <c r="L11" s="60">
        <f>IF(AND(H11&gt;=Year_Open_to_Traffic?, Calculations!H11&lt;Year_Open_to_Traffic?+'Inputs &amp; Outputs'!B$21), 1, 0)</f>
        <v>1</v>
      </c>
      <c r="M11" s="81">
        <f t="shared" si="5"/>
        <v>1.673200549255105E-2</v>
      </c>
      <c r="N11" s="87">
        <f t="shared" si="6"/>
        <v>0.90627705627705679</v>
      </c>
      <c r="O11" s="88">
        <f t="shared" si="7"/>
        <v>1</v>
      </c>
      <c r="P11" s="84">
        <f t="shared" si="8"/>
        <v>38848.792156862793</v>
      </c>
      <c r="Q11" s="85">
        <f t="shared" si="0"/>
        <v>1</v>
      </c>
      <c r="R11" s="86">
        <f t="shared" si="1"/>
        <v>20.787565583925574</v>
      </c>
      <c r="S11" s="94">
        <f t="shared" si="2"/>
        <v>1122.5248225957396</v>
      </c>
      <c r="T11" s="80">
        <f t="shared" si="9"/>
        <v>699.0520435305433</v>
      </c>
      <c r="W11" s="73"/>
    </row>
    <row r="12" spans="1:24" x14ac:dyDescent="0.25">
      <c r="A12" s="18" t="s">
        <v>205</v>
      </c>
      <c r="B12" s="19">
        <v>0.45</v>
      </c>
      <c r="D12" s="18" t="s">
        <v>83</v>
      </c>
      <c r="E12" s="46">
        <f>(E10/E9)^(1/(2045-2025))-1</f>
        <v>4.0553269255807489E-3</v>
      </c>
      <c r="F12" s="28"/>
      <c r="H12" s="59">
        <v>2026</v>
      </c>
      <c r="I12" s="97">
        <f t="shared" si="10"/>
        <v>21019.898269187044</v>
      </c>
      <c r="J12" s="60">
        <f t="shared" si="4"/>
        <v>225036.55794070839</v>
      </c>
      <c r="K12" s="60">
        <f>IF(H12=Year_Open_to_Traffic?,Calculations!$E$4,K11+(K11*M12))</f>
        <v>186030.22123098557</v>
      </c>
      <c r="L12" s="60">
        <f>IF(AND(H12&gt;=Year_Open_to_Traffic?, Calculations!H12&lt;Year_Open_to_Traffic?+'Inputs &amp; Outputs'!B$21), 1, 0)</f>
        <v>1</v>
      </c>
      <c r="M12" s="81">
        <f t="shared" ref="M12:M36" si="11">IFERROR(_2025_2045_Demand_Growth,_2018_2045_Demand_Growth)</f>
        <v>4.0553269255807489E-3</v>
      </c>
      <c r="N12" s="87">
        <f t="shared" ref="N12:N36" si="12">N11*(1+IFERROR(_2025_2045_V_C_Growth,_2018_2045_V_C_Growth))</f>
        <v>0.90995230602541322</v>
      </c>
      <c r="O12" s="88">
        <f t="shared" si="7"/>
        <v>1</v>
      </c>
      <c r="P12" s="84">
        <f t="shared" si="8"/>
        <v>39006.336709722818</v>
      </c>
      <c r="Q12" s="85">
        <f t="shared" si="0"/>
        <v>1</v>
      </c>
      <c r="R12" s="86">
        <f t="shared" si="1"/>
        <v>21.265679592355859</v>
      </c>
      <c r="S12" s="94">
        <f t="shared" si="2"/>
        <v>1152.9997993713141</v>
      </c>
      <c r="T12" s="80">
        <f t="shared" si="9"/>
        <v>671.0563807957675</v>
      </c>
      <c r="W12" s="73"/>
    </row>
    <row r="13" spans="1:24" x14ac:dyDescent="0.25">
      <c r="A13" s="18" t="s">
        <v>206</v>
      </c>
      <c r="B13" s="19">
        <v>0.43</v>
      </c>
      <c r="D13" s="18" t="s">
        <v>84</v>
      </c>
      <c r="E13" s="46">
        <f>(E10/E8)^(1/(2045-2018))-1</f>
        <v>7.3266166128782562E-3</v>
      </c>
      <c r="F13" s="28"/>
      <c r="H13" s="15">
        <f t="shared" si="3"/>
        <v>2027</v>
      </c>
      <c r="I13" s="97">
        <f t="shared" si="10"/>
        <v>21105.140828611045</v>
      </c>
      <c r="J13" s="60">
        <f t="shared" si="4"/>
        <v>225949.15475336535</v>
      </c>
      <c r="K13" s="60">
        <f>IF(H13=Year_Open_to_Traffic?,Calculations!$E$4,K12+(K12*M13))</f>
        <v>186784.63459611533</v>
      </c>
      <c r="L13" s="60">
        <f>IF(AND(H13&gt;=Year_Open_to_Traffic?, Calculations!H13&lt;Year_Open_to_Traffic?+'Inputs &amp; Outputs'!B$21), 1, 0)</f>
        <v>1</v>
      </c>
      <c r="M13" s="81">
        <f t="shared" si="11"/>
        <v>4.0553269255807489E-3</v>
      </c>
      <c r="N13" s="87">
        <f t="shared" si="12"/>
        <v>0.91364246011303241</v>
      </c>
      <c r="O13" s="88">
        <f t="shared" si="7"/>
        <v>1</v>
      </c>
      <c r="P13" s="84">
        <f t="shared" si="8"/>
        <v>39164.520157250023</v>
      </c>
      <c r="Q13" s="85">
        <f t="shared" si="0"/>
        <v>1</v>
      </c>
      <c r="R13" s="86">
        <f t="shared" si="1"/>
        <v>21.754790222980041</v>
      </c>
      <c r="S13" s="94">
        <f t="shared" si="2"/>
        <v>1184.3021290844599</v>
      </c>
      <c r="T13" s="80">
        <f t="shared" si="9"/>
        <v>644.18188942328504</v>
      </c>
      <c r="W13" s="73"/>
    </row>
    <row r="14" spans="1:24" x14ac:dyDescent="0.25">
      <c r="H14" s="59">
        <f>H13+1</f>
        <v>2028</v>
      </c>
      <c r="I14" s="97">
        <f t="shared" si="10"/>
        <v>21190.729074481485</v>
      </c>
      <c r="J14" s="60">
        <f t="shared" si="4"/>
        <v>226865.45244444889</v>
      </c>
      <c r="K14" s="60">
        <f>IF(H14=Year_Open_to_Traffic?,Calculations!$E$4,K13+(K13*M14))</f>
        <v>187542.10735407771</v>
      </c>
      <c r="L14" s="60">
        <f>IF(AND(H14&gt;=Year_Open_to_Traffic?, Calculations!H14&lt;Year_Open_to_Traffic?+'Inputs &amp; Outputs'!B$21), 1, 0)</f>
        <v>1</v>
      </c>
      <c r="M14" s="81">
        <f t="shared" si="11"/>
        <v>4.0553269255807489E-3</v>
      </c>
      <c r="N14" s="87">
        <f t="shared" si="12"/>
        <v>0.91734757898188257</v>
      </c>
      <c r="O14" s="88">
        <f t="shared" si="7"/>
        <v>1</v>
      </c>
      <c r="P14" s="84">
        <f t="shared" si="8"/>
        <v>39323.345090371178</v>
      </c>
      <c r="Q14" s="85">
        <f t="shared" si="0"/>
        <v>1</v>
      </c>
      <c r="R14" s="86">
        <f t="shared" si="1"/>
        <v>22.255150398108579</v>
      </c>
      <c r="S14" s="94">
        <f t="shared" si="2"/>
        <v>1216.4542732086798</v>
      </c>
      <c r="T14" s="80">
        <f t="shared" si="9"/>
        <v>618.38366869988499</v>
      </c>
      <c r="W14" s="73"/>
    </row>
    <row r="15" spans="1:24" x14ac:dyDescent="0.25">
      <c r="H15" s="15">
        <f t="shared" si="3"/>
        <v>2029</v>
      </c>
      <c r="I15" s="97">
        <f t="shared" si="10"/>
        <v>21276.664408669916</v>
      </c>
      <c r="J15" s="60">
        <f t="shared" si="4"/>
        <v>227785.46602223092</v>
      </c>
      <c r="K15" s="60">
        <f>IF(H15=Year_Open_to_Traffic?,Calculations!$E$4,K14+(K14*M15))</f>
        <v>188302.65191171085</v>
      </c>
      <c r="L15" s="60">
        <f>IF(AND(H15&gt;=Year_Open_to_Traffic?, Calculations!H15&lt;Year_Open_to_Traffic?+'Inputs &amp; Outputs'!B$21), 1, 0)</f>
        <v>1</v>
      </c>
      <c r="M15" s="81">
        <f t="shared" si="11"/>
        <v>4.0553269255807489E-3</v>
      </c>
      <c r="N15" s="87">
        <f t="shared" si="12"/>
        <v>0.92106772331904407</v>
      </c>
      <c r="O15" s="88">
        <f t="shared" si="7"/>
        <v>1</v>
      </c>
      <c r="P15" s="84">
        <f t="shared" si="8"/>
        <v>39482.814110520063</v>
      </c>
      <c r="Q15" s="85">
        <f t="shared" si="0"/>
        <v>1</v>
      </c>
      <c r="R15" s="86">
        <f t="shared" si="1"/>
        <v>22.767018857265079</v>
      </c>
      <c r="S15" s="94">
        <f t="shared" si="2"/>
        <v>1249.4793030150215</v>
      </c>
      <c r="T15" s="80">
        <f t="shared" si="9"/>
        <v>593.61861609781931</v>
      </c>
      <c r="W15" s="73"/>
    </row>
    <row r="16" spans="1:24" x14ac:dyDescent="0.25">
      <c r="H16" s="59">
        <f t="shared" si="3"/>
        <v>2030</v>
      </c>
      <c r="I16" s="97">
        <f t="shared" si="10"/>
        <v>21362.948238732941</v>
      </c>
      <c r="J16" s="60">
        <f t="shared" si="4"/>
        <v>228709.21055584683</v>
      </c>
      <c r="K16" s="60">
        <f>IF(H16=Year_Open_to_Traffic?,Calculations!$E$4,K15+(K15*M16))</f>
        <v>189066.28072616667</v>
      </c>
      <c r="L16" s="60">
        <f>IF(AND(H16&gt;=Year_Open_to_Traffic?, Calculations!H16&lt;Year_Open_to_Traffic?+'Inputs &amp; Outputs'!B$21), 1, 0)</f>
        <v>1</v>
      </c>
      <c r="M16" s="81">
        <f t="shared" si="11"/>
        <v>4.0553269255807489E-3</v>
      </c>
      <c r="N16" s="87">
        <f t="shared" si="12"/>
        <v>0.92480295405770319</v>
      </c>
      <c r="O16" s="88">
        <f t="shared" si="7"/>
        <v>1</v>
      </c>
      <c r="P16" s="84">
        <f t="shared" si="8"/>
        <v>39642.929829680157</v>
      </c>
      <c r="Q16" s="85">
        <f t="shared" si="0"/>
        <v>1</v>
      </c>
      <c r="R16" s="86">
        <f t="shared" si="1"/>
        <v>23.290660290982171</v>
      </c>
      <c r="S16" s="94">
        <f t="shared" si="2"/>
        <v>1283.4009161272306</v>
      </c>
      <c r="T16" s="80">
        <f t="shared" si="9"/>
        <v>569.84535526100626</v>
      </c>
      <c r="W16" s="73"/>
    </row>
    <row r="17" spans="1:23" x14ac:dyDescent="0.25">
      <c r="A17" s="29"/>
      <c r="H17" s="15">
        <f t="shared" si="3"/>
        <v>2031</v>
      </c>
      <c r="I17" s="97">
        <f t="shared" si="10"/>
        <v>21449.581977935264</v>
      </c>
      <c r="J17" s="60">
        <f t="shared" si="4"/>
        <v>229636.70117554229</v>
      </c>
      <c r="K17" s="60">
        <f>IF(H17=Year_Open_to_Traffic?,Calculations!$E$4,K16+(K16*M17))</f>
        <v>189833.00630511492</v>
      </c>
      <c r="L17" s="60">
        <f>IF(AND(H17&gt;=Year_Open_to_Traffic?, Calculations!H17&lt;Year_Open_to_Traffic?+'Inputs &amp; Outputs'!B$21), 1, 0)</f>
        <v>1</v>
      </c>
      <c r="M17" s="81">
        <f t="shared" si="11"/>
        <v>4.0553269255807489E-3</v>
      </c>
      <c r="N17" s="87">
        <f t="shared" si="12"/>
        <v>0.92855333237814996</v>
      </c>
      <c r="O17" s="88">
        <f t="shared" si="7"/>
        <v>1</v>
      </c>
      <c r="P17" s="84">
        <f t="shared" si="8"/>
        <v>39803.694870427367</v>
      </c>
      <c r="Q17" s="85">
        <f t="shared" si="0"/>
        <v>1</v>
      </c>
      <c r="R17" s="86">
        <f t="shared" si="1"/>
        <v>23.82634547767476</v>
      </c>
      <c r="S17" s="94">
        <f t="shared" si="2"/>
        <v>1318.2434535263469</v>
      </c>
      <c r="T17" s="80">
        <f t="shared" si="9"/>
        <v>547.02416687523964</v>
      </c>
      <c r="W17" s="73"/>
    </row>
    <row r="18" spans="1:23" x14ac:dyDescent="0.25">
      <c r="H18" s="59">
        <f t="shared" si="3"/>
        <v>2032</v>
      </c>
      <c r="I18" s="97">
        <f t="shared" si="10"/>
        <v>21536.567045272837</v>
      </c>
      <c r="J18" s="60">
        <f t="shared" si="4"/>
        <v>230567.95307292099</v>
      </c>
      <c r="K18" s="60">
        <f>IF(H18=Year_Open_to_Traffic?,Calculations!$E$4,K17+(K17*M18))</f>
        <v>190602.84120694798</v>
      </c>
      <c r="L18" s="60">
        <f>IF(AND(H18&gt;=Year_Open_to_Traffic?, Calculations!H18&lt;Year_Open_to_Traffic?+'Inputs &amp; Outputs'!B$21), 1, 0)</f>
        <v>1</v>
      </c>
      <c r="M18" s="81">
        <f t="shared" si="11"/>
        <v>4.0553269255807489E-3</v>
      </c>
      <c r="N18" s="87">
        <f t="shared" si="12"/>
        <v>0.93231891970878078</v>
      </c>
      <c r="O18" s="88">
        <f t="shared" si="7"/>
        <v>1</v>
      </c>
      <c r="P18" s="84">
        <f t="shared" si="8"/>
        <v>39965.111865973013</v>
      </c>
      <c r="Q18" s="85">
        <f t="shared" si="0"/>
        <v>1</v>
      </c>
      <c r="R18" s="86">
        <f t="shared" si="1"/>
        <v>24.374351423661277</v>
      </c>
      <c r="S18" s="94">
        <f t="shared" si="2"/>
        <v>1354.0319170169544</v>
      </c>
      <c r="T18" s="80">
        <f t="shared" si="9"/>
        <v>525.1169223069146</v>
      </c>
      <c r="W18" s="73"/>
    </row>
    <row r="19" spans="1:23" x14ac:dyDescent="0.25">
      <c r="H19" s="15">
        <f t="shared" si="3"/>
        <v>2033</v>
      </c>
      <c r="I19" s="97">
        <f t="shared" si="10"/>
        <v>21623.904865496108</v>
      </c>
      <c r="J19" s="60">
        <f t="shared" si="4"/>
        <v>231502.98150119366</v>
      </c>
      <c r="K19" s="60">
        <f>IF(H19=Year_Open_to_Traffic?,Calculations!$E$4,K18+(K18*M19))</f>
        <v>191375.7980409867</v>
      </c>
      <c r="L19" s="60">
        <f>IF(AND(H19&gt;=Year_Open_to_Traffic?, Calculations!H19&lt;Year_Open_to_Traffic?+'Inputs &amp; Outputs'!B$21), 1, 0)</f>
        <v>1</v>
      </c>
      <c r="M19" s="81">
        <f t="shared" si="11"/>
        <v>4.0553269255807489E-3</v>
      </c>
      <c r="N19" s="87">
        <f t="shared" si="12"/>
        <v>0.93609977772710418</v>
      </c>
      <c r="O19" s="88">
        <f t="shared" si="7"/>
        <v>1</v>
      </c>
      <c r="P19" s="84">
        <f t="shared" si="8"/>
        <v>40127.183460206958</v>
      </c>
      <c r="Q19" s="85">
        <f t="shared" si="0"/>
        <v>1</v>
      </c>
      <c r="R19" s="86">
        <f t="shared" si="1"/>
        <v>24.934961506405479</v>
      </c>
      <c r="S19" s="94">
        <f t="shared" si="2"/>
        <v>1390.7919871676161</v>
      </c>
      <c r="T19" s="80">
        <f t="shared" si="9"/>
        <v>504.08701989939021</v>
      </c>
      <c r="W19" s="73"/>
    </row>
    <row r="20" spans="1:23" x14ac:dyDescent="0.25">
      <c r="H20" s="59">
        <f t="shared" si="3"/>
        <v>2034</v>
      </c>
      <c r="I20" s="97">
        <f t="shared" si="10"/>
        <v>21711.596869133351</v>
      </c>
      <c r="J20" s="60">
        <f t="shared" si="4"/>
        <v>232441.80177542768</v>
      </c>
      <c r="K20" s="60">
        <f>IF(H20=Year_Open_to_Traffic?,Calculations!$E$4,K19+(K19*M20))</f>
        <v>192151.88946768682</v>
      </c>
      <c r="L20" s="60">
        <f>IF(AND(H20&gt;=Year_Open_to_Traffic?, Calculations!H20&lt;Year_Open_to_Traffic?+'Inputs &amp; Outputs'!B$21), 1, 0)</f>
        <v>1</v>
      </c>
      <c r="M20" s="81">
        <f t="shared" si="11"/>
        <v>4.0553269255807489E-3</v>
      </c>
      <c r="N20" s="87">
        <f t="shared" si="12"/>
        <v>0.93989596836075107</v>
      </c>
      <c r="O20" s="88">
        <f t="shared" si="7"/>
        <v>1</v>
      </c>
      <c r="P20" s="84">
        <f t="shared" si="8"/>
        <v>40289.912307740859</v>
      </c>
      <c r="Q20" s="85">
        <f t="shared" si="0"/>
        <v>1</v>
      </c>
      <c r="R20" s="86">
        <f t="shared" si="1"/>
        <v>25.508465621052807</v>
      </c>
      <c r="S20" s="94">
        <f t="shared" si="2"/>
        <v>1428.5500417383635</v>
      </c>
      <c r="T20" s="80">
        <f t="shared" si="9"/>
        <v>483.89932382055764</v>
      </c>
      <c r="W20" s="73"/>
    </row>
    <row r="21" spans="1:23" x14ac:dyDescent="0.25">
      <c r="H21" s="15">
        <f t="shared" si="3"/>
        <v>2035</v>
      </c>
      <c r="I21" s="97">
        <f t="shared" si="10"/>
        <v>21799.6444925141</v>
      </c>
      <c r="J21" s="60">
        <f t="shared" si="4"/>
        <v>233384.42927279806</v>
      </c>
      <c r="K21" s="60">
        <f>IF(H21=Year_Open_to_Traffic?,Calculations!$E$4,K20+(K20*M21))</f>
        <v>192931.12819884636</v>
      </c>
      <c r="L21" s="60">
        <f>IF(AND(H21&gt;=Year_Open_to_Traffic?, Calculations!H21&lt;Year_Open_to_Traffic?+'Inputs &amp; Outputs'!B$21), 1, 0)</f>
        <v>1</v>
      </c>
      <c r="M21" s="81">
        <f t="shared" si="11"/>
        <v>4.0553269255807489E-3</v>
      </c>
      <c r="N21" s="87">
        <f t="shared" si="12"/>
        <v>0.94370755378848925</v>
      </c>
      <c r="O21" s="88">
        <f t="shared" si="7"/>
        <v>1</v>
      </c>
      <c r="P21" s="84">
        <f t="shared" si="8"/>
        <v>40453.301073951705</v>
      </c>
      <c r="Q21" s="85">
        <f t="shared" si="0"/>
        <v>1</v>
      </c>
      <c r="R21" s="86">
        <f t="shared" si="1"/>
        <v>26.095160330337016</v>
      </c>
      <c r="S21" s="94">
        <f t="shared" si="2"/>
        <v>1467.3331746084687</v>
      </c>
      <c r="T21" s="80">
        <f t="shared" si="9"/>
        <v>464.52010535944368</v>
      </c>
      <c r="W21" s="73"/>
    </row>
    <row r="22" spans="1:23" x14ac:dyDescent="0.25">
      <c r="H22" s="59">
        <f>H21+1</f>
        <v>2036</v>
      </c>
      <c r="I22" s="97">
        <f t="shared" si="10"/>
        <v>21888.04917779268</v>
      </c>
      <c r="J22" s="60">
        <f t="shared" si="4"/>
        <v>234330.87943283934</v>
      </c>
      <c r="K22" s="60">
        <f>IF(H22=Year_Open_to_Traffic?,Calculations!$E$4,K21+(K21*M22))</f>
        <v>193713.52699781381</v>
      </c>
      <c r="L22" s="60">
        <f>IF(AND(H22&gt;=Year_Open_to_Traffic?, Calculations!H22&lt;Year_Open_to_Traffic?+'Inputs &amp; Outputs'!B$21), 1, 0)</f>
        <v>1</v>
      </c>
      <c r="M22" s="81">
        <f t="shared" si="11"/>
        <v>4.0553269255807489E-3</v>
      </c>
      <c r="N22" s="87">
        <f t="shared" si="12"/>
        <v>0.94753459644124161</v>
      </c>
      <c r="O22" s="88">
        <f t="shared" si="7"/>
        <v>1</v>
      </c>
      <c r="P22" s="84">
        <f t="shared" si="8"/>
        <v>40617.352435025532</v>
      </c>
      <c r="Q22" s="85">
        <f t="shared" si="0"/>
        <v>1</v>
      </c>
      <c r="R22" s="86">
        <f t="shared" si="1"/>
        <v>26.695349017934767</v>
      </c>
      <c r="S22" s="94">
        <f t="shared" si="2"/>
        <v>1507.1692152180822</v>
      </c>
      <c r="T22" s="80">
        <f t="shared" si="9"/>
        <v>445.91698657377162</v>
      </c>
      <c r="W22" s="73"/>
    </row>
    <row r="23" spans="1:23" x14ac:dyDescent="0.25">
      <c r="H23" s="15">
        <f t="shared" si="3"/>
        <v>2037</v>
      </c>
      <c r="I23" s="97">
        <f t="shared" si="10"/>
        <v>21976.812372971817</v>
      </c>
      <c r="J23" s="60">
        <f t="shared" si="4"/>
        <v>235281.16775769836</v>
      </c>
      <c r="K23" s="60">
        <f>IF(H23=Year_Open_to_Traffic?,Calculations!$E$4,K22+(K22*M23))</f>
        <v>194499.09867969726</v>
      </c>
      <c r="L23" s="60">
        <f>IF(AND(H23&gt;=Year_Open_to_Traffic?, Calculations!H23&lt;Year_Open_to_Traffic?+'Inputs &amp; Outputs'!B$21), 1, 0)</f>
        <v>1</v>
      </c>
      <c r="M23" s="81">
        <f t="shared" si="11"/>
        <v>4.0553269255807489E-3</v>
      </c>
      <c r="N23" s="87">
        <f t="shared" si="12"/>
        <v>0.95137715900310904</v>
      </c>
      <c r="O23" s="88">
        <f t="shared" si="7"/>
        <v>1</v>
      </c>
      <c r="P23" s="84">
        <f t="shared" si="8"/>
        <v>40782.069078001106</v>
      </c>
      <c r="Q23" s="85">
        <f t="shared" si="0"/>
        <v>1</v>
      </c>
      <c r="R23" s="86">
        <f t="shared" si="1"/>
        <v>27.309342045347261</v>
      </c>
      <c r="S23" s="94">
        <f t="shared" si="2"/>
        <v>1548.0867485376757</v>
      </c>
      <c r="T23" s="80">
        <f t="shared" si="9"/>
        <v>428.05888619432335</v>
      </c>
      <c r="W23" s="73"/>
    </row>
    <row r="24" spans="1:23" x14ac:dyDescent="0.25">
      <c r="H24" s="59">
        <f t="shared" si="3"/>
        <v>2038</v>
      </c>
      <c r="I24" s="97">
        <f t="shared" si="10"/>
        <v>22065.935531926367</v>
      </c>
      <c r="J24" s="60">
        <f t="shared" si="4"/>
        <v>236235.30981238824</v>
      </c>
      <c r="K24" s="60">
        <f>IF(H24=Year_Open_to_Traffic?,Calculations!$E$4,K23+(K23*M24))</f>
        <v>195287.85611157422</v>
      </c>
      <c r="L24" s="60">
        <f>IF(AND(H24&gt;=Year_Open_to_Traffic?, Calculations!H24&lt;Year_Open_to_Traffic?+'Inputs &amp; Outputs'!B$21), 1, 0)</f>
        <v>1</v>
      </c>
      <c r="M24" s="81">
        <f t="shared" si="11"/>
        <v>4.0553269255807489E-3</v>
      </c>
      <c r="N24" s="87">
        <f t="shared" si="12"/>
        <v>0.9552353044123969</v>
      </c>
      <c r="O24" s="88">
        <f t="shared" si="7"/>
        <v>1</v>
      </c>
      <c r="P24" s="84">
        <f>(J24-K24)*L24</f>
        <v>40947.453700814018</v>
      </c>
      <c r="Q24" s="85">
        <f t="shared" si="0"/>
        <v>1</v>
      </c>
      <c r="R24" s="86">
        <f t="shared" si="1"/>
        <v>27.93745691239025</v>
      </c>
      <c r="S24" s="94">
        <f t="shared" si="2"/>
        <v>1590.1151355796346</v>
      </c>
      <c r="T24" s="80">
        <f t="shared" si="9"/>
        <v>410.9159676957288</v>
      </c>
      <c r="W24" s="73"/>
    </row>
    <row r="25" spans="1:23" x14ac:dyDescent="0.25">
      <c r="H25" s="15">
        <f t="shared" si="3"/>
        <v>2039</v>
      </c>
      <c r="I25" s="97">
        <f t="shared" si="10"/>
        <v>22155.420114427117</v>
      </c>
      <c r="J25" s="60">
        <f t="shared" si="4"/>
        <v>237193.32122504333</v>
      </c>
      <c r="K25" s="60">
        <f>IF(H25=Year_Open_to_Traffic?,Calculations!$E$4,K24+(K24*M25))</f>
        <v>196079.81221270244</v>
      </c>
      <c r="L25" s="60">
        <f>IF(AND(H25&gt;=Year_Open_to_Traffic?, Calculations!H25&lt;Year_Open_to_Traffic?+'Inputs &amp; Outputs'!B$21), 1, 0)</f>
        <v>1</v>
      </c>
      <c r="M25" s="81">
        <f t="shared" si="11"/>
        <v>4.0553269255807489E-3</v>
      </c>
      <c r="N25" s="87">
        <f t="shared" si="12"/>
        <v>0.95910909586264581</v>
      </c>
      <c r="O25" s="88">
        <f t="shared" si="7"/>
        <v>1</v>
      </c>
      <c r="P25" s="84">
        <f t="shared" si="8"/>
        <v>41113.509012340888</v>
      </c>
      <c r="Q25" s="85">
        <f t="shared" si="0"/>
        <v>1</v>
      </c>
      <c r="R25" s="86">
        <f t="shared" si="1"/>
        <v>28.580018421375218</v>
      </c>
      <c r="S25" s="94">
        <f t="shared" si="2"/>
        <v>1633.2845344667089</v>
      </c>
      <c r="T25" s="80">
        <f t="shared" si="9"/>
        <v>394.45958944691648</v>
      </c>
      <c r="W25" s="73"/>
    </row>
    <row r="26" spans="1:23" x14ac:dyDescent="0.25">
      <c r="H26" s="59">
        <f t="shared" si="3"/>
        <v>2040</v>
      </c>
      <c r="I26" s="97">
        <f t="shared" si="10"/>
        <v>22245.267586164708</v>
      </c>
      <c r="J26" s="60">
        <f t="shared" si="4"/>
        <v>238155.21768717517</v>
      </c>
      <c r="K26" s="60">
        <f>IF(H26=Year_Open_to_Traffic?,Calculations!$E$4,K25+(K25*M26))</f>
        <v>196874.97995473142</v>
      </c>
      <c r="L26" s="60">
        <f>IF(AND(H26&gt;=Year_Open_to_Traffic?, Calculations!H26&lt;Year_Open_to_Traffic?+'Inputs &amp; Outputs'!B$21), 1, 0)</f>
        <v>1</v>
      </c>
      <c r="M26" s="81">
        <f t="shared" si="11"/>
        <v>4.0553269255807489E-3</v>
      </c>
      <c r="N26" s="87">
        <f t="shared" si="12"/>
        <v>0.96299859680366695</v>
      </c>
      <c r="O26" s="88">
        <f t="shared" si="7"/>
        <v>1</v>
      </c>
      <c r="P26" s="84">
        <f t="shared" si="8"/>
        <v>41280.237732443755</v>
      </c>
      <c r="Q26" s="85">
        <f t="shared" si="0"/>
        <v>1</v>
      </c>
      <c r="R26" s="86">
        <f t="shared" si="1"/>
        <v>29.237358845066851</v>
      </c>
      <c r="S26" s="94">
        <f t="shared" si="2"/>
        <v>1677.6259220724462</v>
      </c>
      <c r="T26" s="80">
        <f t="shared" si="9"/>
        <v>378.66225685794262</v>
      </c>
      <c r="W26" s="73"/>
    </row>
    <row r="27" spans="1:23" x14ac:dyDescent="0.25">
      <c r="H27" s="15">
        <f t="shared" si="3"/>
        <v>2041</v>
      </c>
      <c r="I27" s="97">
        <f t="shared" si="10"/>
        <v>22335.47941877363</v>
      </c>
      <c r="J27" s="60">
        <f t="shared" si="4"/>
        <v>239121.01495392952</v>
      </c>
      <c r="K27" s="60">
        <f>IF(H27=Year_Open_to_Traffic?,Calculations!$E$4,K26+(K26*M27))</f>
        <v>197673.37236191501</v>
      </c>
      <c r="L27" s="60">
        <f>IF(AND(H27&gt;=Year_Open_to_Traffic?, Calculations!H27&lt;Year_Open_to_Traffic?+'Inputs &amp; Outputs'!B$21), 1, 0)</f>
        <v>1</v>
      </c>
      <c r="M27" s="81">
        <f t="shared" si="11"/>
        <v>4.0553269255807489E-3</v>
      </c>
      <c r="N27" s="87">
        <f t="shared" si="12"/>
        <v>0.96690387094258134</v>
      </c>
      <c r="O27" s="88">
        <f t="shared" si="7"/>
        <v>1</v>
      </c>
      <c r="P27" s="84">
        <f t="shared" si="8"/>
        <v>41447.642592014512</v>
      </c>
      <c r="Q27" s="85">
        <f t="shared" si="0"/>
        <v>1</v>
      </c>
      <c r="R27" s="86">
        <f t="shared" si="1"/>
        <v>29.909818098503379</v>
      </c>
      <c r="S27" s="94">
        <f t="shared" si="2"/>
        <v>1723.1711162491199</v>
      </c>
      <c r="T27" s="80">
        <f t="shared" si="9"/>
        <v>363.49757644324205</v>
      </c>
      <c r="W27" s="73"/>
    </row>
    <row r="28" spans="1:23" x14ac:dyDescent="0.25">
      <c r="H28" s="59">
        <f t="shared" si="3"/>
        <v>2042</v>
      </c>
      <c r="I28" s="97">
        <f t="shared" si="10"/>
        <v>22426.057089856338</v>
      </c>
      <c r="J28" s="60">
        <f t="shared" si="4"/>
        <v>240090.72884434438</v>
      </c>
      <c r="K28" s="60">
        <f>IF(H28=Year_Open_to_Traffic?,Calculations!$E$4,K27+(K27*M28))</f>
        <v>198475.00251132462</v>
      </c>
      <c r="L28" s="60">
        <f>IF(AND(H28&gt;=Year_Open_to_Traffic?, Calculations!H28&lt;Year_Open_to_Traffic?+'Inputs &amp; Outputs'!B$21), 1, 0)</f>
        <v>1</v>
      </c>
      <c r="M28" s="81">
        <f t="shared" si="11"/>
        <v>4.0553269255807489E-3</v>
      </c>
      <c r="N28" s="87">
        <f t="shared" si="12"/>
        <v>0.97082498224486302</v>
      </c>
      <c r="O28" s="88">
        <f t="shared" si="7"/>
        <v>1</v>
      </c>
      <c r="P28" s="84">
        <f t="shared" si="8"/>
        <v>41615.72633301976</v>
      </c>
      <c r="Q28" s="85">
        <f t="shared" si="0"/>
        <v>1</v>
      </c>
      <c r="R28" s="86">
        <f t="shared" si="1"/>
        <v>30.597743914768959</v>
      </c>
      <c r="S28" s="94">
        <f t="shared" si="2"/>
        <v>1769.9527986591354</v>
      </c>
      <c r="T28" s="80">
        <f t="shared" si="9"/>
        <v>348.94021172456104</v>
      </c>
      <c r="W28" s="73"/>
    </row>
    <row r="29" spans="1:23" x14ac:dyDescent="0.25">
      <c r="H29" s="15">
        <f t="shared" si="3"/>
        <v>2043</v>
      </c>
      <c r="I29" s="97">
        <f t="shared" si="10"/>
        <v>22517.002083007443</v>
      </c>
      <c r="J29" s="60">
        <f t="shared" si="4"/>
        <v>241064.37524160917</v>
      </c>
      <c r="K29" s="60">
        <f>IF(H29=Year_Open_to_Traffic?,Calculations!$E$4,K28+(K28*M29))</f>
        <v>199279.88353306349</v>
      </c>
      <c r="L29" s="60">
        <f>IF(AND(H29&gt;=Year_Open_to_Traffic?, Calculations!H29&lt;Year_Open_to_Traffic?+'Inputs &amp; Outputs'!B$21), 1, 0)</f>
        <v>0</v>
      </c>
      <c r="M29" s="81">
        <f t="shared" si="11"/>
        <v>4.0553269255807489E-3</v>
      </c>
      <c r="N29" s="87">
        <f t="shared" si="12"/>
        <v>0.97476199493538707</v>
      </c>
      <c r="O29" s="88">
        <f t="shared" si="7"/>
        <v>1</v>
      </c>
      <c r="P29" s="84">
        <f t="shared" si="8"/>
        <v>0</v>
      </c>
      <c r="Q29" s="85">
        <f t="shared" si="0"/>
        <v>0</v>
      </c>
      <c r="R29" s="86">
        <f t="shared" si="1"/>
        <v>31.301492024808638</v>
      </c>
      <c r="S29" s="94">
        <f t="shared" si="2"/>
        <v>0</v>
      </c>
      <c r="T29" s="80">
        <f t="shared" si="9"/>
        <v>0</v>
      </c>
      <c r="W29" s="73"/>
    </row>
    <row r="30" spans="1:23" x14ac:dyDescent="0.25">
      <c r="H30" s="15">
        <f t="shared" si="3"/>
        <v>2044</v>
      </c>
      <c r="I30" s="97">
        <f t="shared" si="10"/>
        <v>22608.31588783802</v>
      </c>
      <c r="J30" s="60">
        <f t="shared" si="4"/>
        <v>242041.97009332478</v>
      </c>
      <c r="K30" s="60">
        <f>IF(H30=Year_Open_to_Traffic?,Calculations!$E$4,K29+(K29*M30))</f>
        <v>200088.02861048171</v>
      </c>
      <c r="L30" s="60">
        <f>IF(AND(H30&gt;=Year_Open_to_Traffic?, Calculations!H30&lt;Year_Open_to_Traffic?+'Inputs &amp; Outputs'!B$21), 1, 0)</f>
        <v>0</v>
      </c>
      <c r="M30" s="81">
        <f t="shared" si="11"/>
        <v>4.0553269255807489E-3</v>
      </c>
      <c r="N30" s="87">
        <f t="shared" si="12"/>
        <v>0.97871497349948133</v>
      </c>
      <c r="O30" s="88">
        <f t="shared" si="7"/>
        <v>1</v>
      </c>
      <c r="P30" s="84">
        <f t="shared" si="8"/>
        <v>0</v>
      </c>
      <c r="Q30" s="85">
        <f t="shared" si="0"/>
        <v>0</v>
      </c>
      <c r="R30" s="86">
        <f t="shared" si="1"/>
        <v>32.021426341379232</v>
      </c>
      <c r="S30" s="94">
        <f t="shared" si="2"/>
        <v>0</v>
      </c>
      <c r="T30" s="80">
        <f t="shared" si="9"/>
        <v>0</v>
      </c>
      <c r="W30" s="73"/>
    </row>
    <row r="31" spans="1:23" x14ac:dyDescent="0.25">
      <c r="H31" s="15">
        <f t="shared" si="3"/>
        <v>2045</v>
      </c>
      <c r="I31" s="97">
        <f t="shared" si="10"/>
        <v>22700.000000000004</v>
      </c>
      <c r="J31" s="60">
        <f t="shared" si="4"/>
        <v>243023.52941176484</v>
      </c>
      <c r="K31" s="60">
        <f>IF(H31=Year_Open_to_Traffic?,Calculations!$E$4,K30+(K30*M31))</f>
        <v>200899.45098039217</v>
      </c>
      <c r="L31" s="60">
        <f>IF(AND(H31&gt;=Year_Open_to_Traffic?, Calculations!H31&lt;Year_Open_to_Traffic?+'Inputs &amp; Outputs'!B$21), 1, 0)</f>
        <v>0</v>
      </c>
      <c r="M31" s="81">
        <f t="shared" si="11"/>
        <v>4.0553269255807489E-3</v>
      </c>
      <c r="N31" s="87">
        <f t="shared" si="12"/>
        <v>0.98268398268398283</v>
      </c>
      <c r="O31" s="88">
        <f t="shared" si="7"/>
        <v>1</v>
      </c>
      <c r="P31" s="84">
        <f t="shared" si="8"/>
        <v>0</v>
      </c>
      <c r="Q31" s="85">
        <f t="shared" si="0"/>
        <v>0</v>
      </c>
      <c r="R31" s="86">
        <f t="shared" si="1"/>
        <v>32.757919147230957</v>
      </c>
      <c r="S31" s="94">
        <f t="shared" si="2"/>
        <v>0</v>
      </c>
      <c r="T31" s="80">
        <f t="shared" si="9"/>
        <v>0</v>
      </c>
      <c r="W31" s="73"/>
    </row>
    <row r="32" spans="1:23" x14ac:dyDescent="0.25">
      <c r="H32" s="15">
        <f t="shared" si="3"/>
        <v>2046</v>
      </c>
      <c r="I32" s="97">
        <f t="shared" si="10"/>
        <v>22792.055921210685</v>
      </c>
      <c r="J32" s="60">
        <f t="shared" si="4"/>
        <v>244009.06927413805</v>
      </c>
      <c r="K32" s="60">
        <f>IF(H32=Year_Open_to_Traffic?,Calculations!$E$4,K31+(K31*M32))</f>
        <v>201714.16393328735</v>
      </c>
      <c r="L32" s="60">
        <f>IF(AND(H32&gt;=Year_Open_to_Traffic?, Calculations!H32&lt;Year_Open_to_Traffic?+'Inputs &amp; Outputs'!B$21), 1, 0)</f>
        <v>0</v>
      </c>
      <c r="M32" s="81">
        <f t="shared" si="11"/>
        <v>4.0553269255807489E-3</v>
      </c>
      <c r="N32" s="87">
        <f t="shared" si="12"/>
        <v>0.98666908749829807</v>
      </c>
      <c r="O32" s="88">
        <f t="shared" si="7"/>
        <v>1</v>
      </c>
      <c r="P32" s="84">
        <f t="shared" si="8"/>
        <v>0</v>
      </c>
      <c r="Q32" s="85">
        <f t="shared" si="0"/>
        <v>0</v>
      </c>
      <c r="R32" s="86">
        <f t="shared" si="1"/>
        <v>33.511351287617266</v>
      </c>
      <c r="S32" s="94">
        <f t="shared" si="2"/>
        <v>0</v>
      </c>
      <c r="T32" s="80">
        <f t="shared" si="9"/>
        <v>0</v>
      </c>
      <c r="W32" s="73"/>
    </row>
    <row r="33" spans="8:23" x14ac:dyDescent="0.25">
      <c r="H33" s="15">
        <f t="shared" si="3"/>
        <v>2047</v>
      </c>
      <c r="I33" s="97">
        <f t="shared" si="10"/>
        <v>22884.485159277312</v>
      </c>
      <c r="J33" s="60">
        <f t="shared" si="4"/>
        <v>244998.60582285136</v>
      </c>
      <c r="K33" s="60">
        <f>IF(H33=Year_Open_to_Traffic?,Calculations!$E$4,K32+(K32*M33))</f>
        <v>202532.180813557</v>
      </c>
      <c r="L33" s="60">
        <f>IF(AND(H33&gt;=Year_Open_to_Traffic?, Calculations!H33&lt;Year_Open_to_Traffic?+'Inputs &amp; Outputs'!B$21), 1, 0)</f>
        <v>0</v>
      </c>
      <c r="M33" s="81">
        <f t="shared" si="11"/>
        <v>4.0553269255807489E-3</v>
      </c>
      <c r="N33" s="87">
        <f t="shared" si="12"/>
        <v>0.99067035321546815</v>
      </c>
      <c r="O33" s="88">
        <f t="shared" si="7"/>
        <v>1</v>
      </c>
      <c r="P33" s="84">
        <f t="shared" si="8"/>
        <v>0</v>
      </c>
      <c r="Q33" s="85">
        <f t="shared" si="0"/>
        <v>0</v>
      </c>
      <c r="R33" s="86">
        <f t="shared" si="1"/>
        <v>34.282112367232457</v>
      </c>
      <c r="S33" s="94">
        <f t="shared" si="2"/>
        <v>0</v>
      </c>
      <c r="T33" s="80">
        <f t="shared" si="9"/>
        <v>0</v>
      </c>
      <c r="W33" s="73"/>
    </row>
    <row r="34" spans="8:23" x14ac:dyDescent="0.25">
      <c r="H34" s="15">
        <f t="shared" si="3"/>
        <v>2048</v>
      </c>
      <c r="I34" s="97">
        <f t="shared" si="10"/>
        <v>22977.289228121783</v>
      </c>
      <c r="J34" s="60">
        <f t="shared" si="4"/>
        <v>245992.15526577452</v>
      </c>
      <c r="K34" s="60">
        <f>IF(H34=Year_Open_to_Traffic?,Calculations!$E$4,K33+(K33*M34))</f>
        <v>203353.5150197068</v>
      </c>
      <c r="L34" s="60">
        <f>IF(AND(H34&gt;=Year_Open_to_Traffic?, Calculations!H34&lt;Year_Open_to_Traffic?+'Inputs &amp; Outputs'!B$21), 1, 0)</f>
        <v>0</v>
      </c>
      <c r="M34" s="81">
        <f t="shared" si="11"/>
        <v>4.0553269255807489E-3</v>
      </c>
      <c r="N34" s="87">
        <f t="shared" si="12"/>
        <v>0.9946878453732374</v>
      </c>
      <c r="O34" s="88">
        <f t="shared" si="7"/>
        <v>1</v>
      </c>
      <c r="P34" s="84">
        <f t="shared" si="8"/>
        <v>0</v>
      </c>
      <c r="Q34" s="85">
        <f t="shared" si="0"/>
        <v>0</v>
      </c>
      <c r="R34" s="86">
        <f t="shared" si="1"/>
        <v>35.070600951678806</v>
      </c>
      <c r="S34" s="94">
        <f t="shared" si="2"/>
        <v>0</v>
      </c>
      <c r="T34" s="80">
        <f t="shared" si="9"/>
        <v>0</v>
      </c>
      <c r="W34" s="73"/>
    </row>
    <row r="35" spans="8:23" x14ac:dyDescent="0.25">
      <c r="H35" s="15">
        <f t="shared" si="3"/>
        <v>2049</v>
      </c>
      <c r="I35" s="97">
        <f t="shared" si="10"/>
        <v>23070.469647805443</v>
      </c>
      <c r="J35" s="60">
        <f t="shared" si="4"/>
        <v>246989.73387650546</v>
      </c>
      <c r="K35" s="60">
        <f>IF(H35=Year_Open_to_Traffic?,Calculations!$E$4,K34+(K34*M35))</f>
        <v>204178.18000457771</v>
      </c>
      <c r="L35" s="60">
        <f>IF(AND(H35&gt;=Year_Open_to_Traffic?, Calculations!H35&lt;Year_Open_to_Traffic?+'Inputs &amp; Outputs'!B$21), 1, 0)</f>
        <v>0</v>
      </c>
      <c r="M35" s="81">
        <f t="shared" si="11"/>
        <v>4.0553269255807489E-3</v>
      </c>
      <c r="N35" s="87">
        <f t="shared" si="12"/>
        <v>0.99872162977512735</v>
      </c>
      <c r="O35" s="88">
        <f t="shared" si="7"/>
        <v>1</v>
      </c>
      <c r="P35" s="84">
        <f t="shared" si="8"/>
        <v>0</v>
      </c>
      <c r="Q35" s="85">
        <f t="shared" si="0"/>
        <v>0</v>
      </c>
      <c r="R35" s="86">
        <f t="shared" si="1"/>
        <v>35.877224773567399</v>
      </c>
      <c r="S35" s="94">
        <f t="shared" si="2"/>
        <v>0</v>
      </c>
      <c r="T35" s="80">
        <f t="shared" si="9"/>
        <v>0</v>
      </c>
      <c r="W35" s="73"/>
    </row>
    <row r="36" spans="8:23" x14ac:dyDescent="0.25">
      <c r="H36" s="15">
        <f t="shared" si="3"/>
        <v>2050</v>
      </c>
      <c r="I36" s="97">
        <f t="shared" si="10"/>
        <v>23164.027944553982</v>
      </c>
      <c r="J36" s="60">
        <f t="shared" si="4"/>
        <v>247991.35799463687</v>
      </c>
      <c r="K36" s="60">
        <f>IF(H36=Year_Open_to_Traffic?,Calculations!$E$4,K35+(K35*M36))</f>
        <v>205006.18927556634</v>
      </c>
      <c r="L36" s="60">
        <f>IF(AND(H36&gt;=Year_Open_to_Traffic?, Calculations!H36&lt;Year_Open_to_Traffic?+'Inputs &amp; Outputs'!B$21), 1, 0)</f>
        <v>0</v>
      </c>
      <c r="M36" s="81">
        <f t="shared" si="11"/>
        <v>4.0553269255807489E-3</v>
      </c>
      <c r="N36" s="87">
        <f t="shared" si="12"/>
        <v>1.0027717724915144</v>
      </c>
      <c r="O36" s="88">
        <f t="shared" si="7"/>
        <v>0</v>
      </c>
      <c r="P36" s="84">
        <f t="shared" si="8"/>
        <v>0</v>
      </c>
      <c r="Q36" s="85">
        <f t="shared" si="0"/>
        <v>0</v>
      </c>
      <c r="R36" s="86">
        <f t="shared" si="1"/>
        <v>36.702400943359457</v>
      </c>
      <c r="S36" s="94">
        <f t="shared" si="2"/>
        <v>0</v>
      </c>
      <c r="T36" s="80">
        <f t="shared" si="9"/>
        <v>0</v>
      </c>
      <c r="W36" s="73"/>
    </row>
    <row r="37" spans="8:23" x14ac:dyDescent="0.25">
      <c r="H37" s="52"/>
      <c r="I37" s="52"/>
      <c r="J37" s="52"/>
      <c r="K37" s="52"/>
      <c r="L37" s="52"/>
      <c r="M37" s="75"/>
      <c r="N37" s="76"/>
      <c r="O37" s="77"/>
      <c r="P37" s="52"/>
      <c r="Q37" s="52"/>
      <c r="R37" s="52"/>
      <c r="S37" s="74"/>
      <c r="T37" s="80">
        <f>SUM(T4:T36)</f>
        <v>10550.170592333208</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5" t="s">
        <v>189</v>
      </c>
      <c r="C2" s="155"/>
      <c r="D2" s="155"/>
      <c r="E2" s="155"/>
      <c r="F2" s="155"/>
      <c r="G2" s="155"/>
      <c r="H2" s="155"/>
      <c r="I2" s="155"/>
    </row>
    <row r="3" spans="2:14" x14ac:dyDescent="0.25">
      <c r="B3" s="156" t="s">
        <v>220</v>
      </c>
      <c r="C3" s="156"/>
      <c r="I3" s="92"/>
    </row>
    <row r="4" spans="2:14" ht="30" x14ac:dyDescent="0.25">
      <c r="B4" s="78" t="s">
        <v>190</v>
      </c>
      <c r="C4" s="78" t="s">
        <v>123</v>
      </c>
      <c r="D4" s="147"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Marcello Victorino</cp:lastModifiedBy>
  <cp:lastPrinted>2018-07-16T14:36:56Z</cp:lastPrinted>
  <dcterms:created xsi:type="dcterms:W3CDTF">2012-07-25T15:48:32Z</dcterms:created>
  <dcterms:modified xsi:type="dcterms:W3CDTF">2018-10-31T15:25:23Z</dcterms:modified>
</cp:coreProperties>
</file>