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Engineering\Transportation and Mobility Program\Funding Options\H-GAC TIP 2019-2022\3 - Application\P5 - Williams Trace Reconstruction\"/>
    </mc:Choice>
  </mc:AlternateContent>
  <bookViews>
    <workbookView xWindow="0" yWindow="0" windowWidth="28800" windowHeight="1140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62913"/>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9" i="12" l="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<sst xmlns="http://schemas.openxmlformats.org/spreadsheetml/2006/main" count="441" uniqueCount="287">
  <si>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</si>
  <si>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</si>
  <si>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</si>
  <si>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</si>
  <si>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</si>
  <si>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</si>
  <si>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</si>
  <si>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</si>
  <si>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</si>
  <si>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</si>
  <si>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</si>
  <si>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</si>
  <si>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</si>
  <si>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</si>
  <si>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</si>
  <si>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</si>
  <si>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</si>
  <si>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</si>
  <si>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</si>
  <si>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</si>
  <si>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</si>
  <si>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</si>
  <si>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</si>
  <si>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</si>
  <si>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</si>
  <si>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</si>
  <si>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</si>
  <si>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</si>
  <si>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</si>
  <si>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</si>
  <si>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</si>
  <si>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</si>
  <si>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</si>
  <si>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</si>
  <si>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</si>
  <si>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</si>
  <si>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</si>
  <si>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</si>
  <si>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</si>
  <si>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</si>
  <si>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</si>
  <si>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</si>
  <si>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</si>
  <si>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</si>
  <si>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</si>
  <si>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</si>
  <si>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</si>
  <si>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</si>
  <si>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</si>
  <si>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</si>
  <si>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</si>
  <si>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</si>
  <si>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</si>
  <si>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</si>
  <si>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</si>
  <si>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</si>
  <si>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</si>
  <si>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</si>
  <si>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</si>
  <si>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</si>
  <si>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</si>
  <si>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</si>
  <si>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</si>
  <si>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</si>
  <si>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</si>
  <si>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</si>
  <si>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</si>
  <si>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</si>
  <si>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</si>
  <si>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</si>
  <si>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</si>
  <si>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</si>
  <si>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</si>
  <si>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</si>
  <si>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</si>
  <si>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</si>
  <si>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</si>
  <si>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</si>
  <si>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</si>
  <si>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</si>
  <si>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</si>
  <si>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</si>
  <si>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</si>
  <si>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</si>
  <si>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</si>
  <si>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</si>
  <si>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</si>
  <si>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</si>
  <si>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</si>
  <si>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</si>
  <si>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</si>
  <si>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</si>
  <si>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</si>
  <si>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</si>
  <si>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</si>
  <si>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</si>
  <si>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</si>
  <si>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</si>
  <si>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</si>
  <si>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</si>
  <si>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</si>
  <si>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</si>
  <si>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</si>
  <si>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</si>
  <si>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</si>
  <si>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</si>
  <si>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</si>
  <si>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</si>
  <si>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</si>
  <si>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</si>
  <si>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</si>
  <si>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</si>
  <si>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</si>
  <si>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</si>
  <si>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</si>
  <si>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</si>
  <si>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</si>
  <si>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</si>
  <si>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</si>
  <si>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</si>
  <si>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</si>
  <si>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</si>
  <si>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</si>
  <si>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</si>
  <si>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</si>
  <si>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</si>
  <si>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</si>
  <si>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</si>
  <si>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</si>
  <si>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</si>
  <si>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</si>
  <si>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</si>
  <si>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</si>
  <si>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</si>
  <si>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</si>
  <si>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</si>
  <si>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</si>
  <si>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</si>
  <si>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</si>
  <si>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</si>
  <si>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</si>
  <si>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</si>
  <si>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</si>
  <si>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</si>
  <si>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</si>
  <si>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</si>
  <si>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</si>
  <si>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</si>
  <si>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</si>
  <si>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</si>
  <si>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</si>
  <si>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</si>
  <si>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</si>
  <si>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</si>
  <si>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</si>
  <si>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</si>
  <si>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</si>
  <si>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</si>
  <si>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</si>
  <si>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</si>
  <si>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</si>
  <si>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</si>
  <si>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</si>
  <si>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</si>
  <si>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</si>
  <si>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</si>
  <si>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</si>
  <si>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</si>
  <si>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</si>
  <si>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</si>
  <si>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</si>
  <si>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</si>
  <si>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</si>
  <si>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</si>
  <si>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</si>
  <si>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</si>
  <si>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</si>
  <si>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</si>
  <si>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</si>
  <si>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</si>
  <si>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</si>
  <si>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</si>
  <si>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</si>
  <si>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</si>
  <si>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</si>
  <si>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</si>
  <si>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</si>
  <si>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</si>
  <si>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</si>
  <si>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</si>
  <si>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</si>
  <si>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</si>
  <si>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</si>
  <si>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</si>
  <si>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</si>
  <si>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</si>
  <si>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</si>
  <si>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</si>
  <si>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</si>
  <si>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</si>
  <si>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</si>
  <si>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</si>
  <si>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</si>
  <si>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</si>
  <si>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</si>
  <si>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</si>
  <si>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</si>
  <si>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</si>
  <si>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</si>
  <si>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</si>
  <si>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</si>
  <si>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</si>
  <si>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</si>
  <si>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</si>
  <si>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</si>
  <si>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</si>
  <si>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</si>
  <si>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</si>
  <si>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</si>
  <si>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</si>
  <si>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</si>
  <si>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</si>
  <si>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</si>
  <si>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</si>
  <si>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</si>
  <si>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</si>
  <si>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</si>
  <si>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</si>
  <si>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</si>
  <si>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</si>
  <si>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</si>
  <si>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</si>
  <si>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</si>
  <si>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</si>
  <si>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</si>
  <si>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</si>
  <si>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</si>
  <si>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</si>
  <si>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</si>
  <si>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</si>
  <si>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</si>
  <si>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</si>
  <si>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</si>
  <si>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</si>
  <si>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</si>
  <si>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</si>
  <si>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</si>
  <si>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</si>
  <si>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</si>
  <si>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</si>
  <si>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</si>
  <si>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</si>
  <si>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</si>
  <si>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</si>
  <si>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</si>
  <si>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</si>
  <si>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</si>
  <si>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</si>
  <si>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</si>
  <si>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</si>
  <si>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</si>
  <si>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</si>
  <si>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</si>
  <si>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</si>
  <si>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</si>
  <si>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</si>
  <si>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</si>
  <si>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</si>
  <si>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</si>
  <si>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</si>
  <si>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</si>
  <si>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</si>
  <si>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</si>
  <si>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</si>
  <si>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</si>
  <si>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</si>
  <si>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</si>
  <si>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</si>
  <si>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</si>
  <si>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</si>
  <si>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</si>
  <si>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Williams Trace Blvd Reconstruction</t>
  </si>
  <si>
    <t>Non Freeway</t>
  </si>
  <si>
    <t>Williams Trace Blvd</t>
  </si>
  <si>
    <t>SH6</t>
  </si>
  <si>
    <t>Lexington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</si>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</sst>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0">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7" t="s">
        <v>34</v>
      </c>
      <c r="E6" s="178"/>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7" t="s">
        <v>34</v>
      </c>
      <c r="E6" s="178"/>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7" t="s">
        <v>35</v>
      </c>
      <c r="E8" s="178"/>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13" zoomScaleNormal="100" workbookViewId="0">
      <selection activeCell="C37" sqref="C37"/>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88" t="s">
        <v>281</v>
      </c>
      <c r="D6" s="94"/>
    </row>
    <row r="7" spans="2:19" x14ac:dyDescent="0.25">
      <c r="B7" s="4" t="s">
        <v>117</v>
      </c>
      <c r="C7" s="189" t="s">
        <v>119</v>
      </c>
      <c r="D7" s="64"/>
      <c r="E7" s="4"/>
      <c r="F7" t="s">
        <v>257</v>
      </c>
    </row>
    <row r="8" spans="2:19" x14ac:dyDescent="0.25">
      <c r="B8" s="4" t="s">
        <v>126</v>
      </c>
      <c r="C8" s="189" t="s">
        <v>282</v>
      </c>
      <c r="D8" s="64"/>
      <c r="E8" s="86"/>
      <c r="F8" t="s">
        <v>263</v>
      </c>
    </row>
    <row r="9" spans="2:19" x14ac:dyDescent="0.25">
      <c r="B9" s="4" t="s">
        <v>167</v>
      </c>
      <c r="C9" s="189" t="s">
        <v>283</v>
      </c>
      <c r="D9" s="64"/>
      <c r="E9" s="121"/>
      <c r="F9" t="s">
        <v>268</v>
      </c>
    </row>
    <row r="10" spans="2:19" x14ac:dyDescent="0.25">
      <c r="B10" s="4" t="s">
        <v>114</v>
      </c>
      <c r="C10" s="189" t="s">
        <v>284</v>
      </c>
      <c r="D10" s="64"/>
      <c r="E10" s="9"/>
      <c r="F10" t="s">
        <v>258</v>
      </c>
    </row>
    <row r="11" spans="2:19" x14ac:dyDescent="0.25">
      <c r="B11" s="4" t="s">
        <v>115</v>
      </c>
      <c r="C11" s="189" t="s">
        <v>285</v>
      </c>
      <c r="D11" s="64"/>
    </row>
    <row r="12" spans="2:19" x14ac:dyDescent="0.25">
      <c r="B12" s="4" t="s">
        <v>116</v>
      </c>
      <c r="C12" s="189">
        <v>0.7</v>
      </c>
      <c r="D12" s="95"/>
      <c r="N12" s="179"/>
      <c r="O12" s="179"/>
      <c r="P12" s="179"/>
      <c r="Q12" s="179"/>
      <c r="R12" s="179"/>
      <c r="S12" s="179"/>
    </row>
    <row r="13" spans="2:19" x14ac:dyDescent="0.25">
      <c r="B13" s="4" t="s">
        <v>77</v>
      </c>
      <c r="C13" s="189">
        <v>220</v>
      </c>
      <c r="D13" s="64"/>
    </row>
    <row r="14" spans="2:19" x14ac:dyDescent="0.25">
      <c r="B14" s="4" t="s">
        <v>78</v>
      </c>
      <c r="C14" s="189" t="s">
        <v>286</v>
      </c>
      <c r="D14" s="64"/>
      <c r="G14" s="109"/>
    </row>
    <row r="15" spans="2:19" x14ac:dyDescent="0.25">
      <c r="B15" s="26"/>
      <c r="C15" s="64"/>
      <c r="D15" s="64"/>
    </row>
    <row r="16" spans="2:19" x14ac:dyDescent="0.25">
      <c r="B16" s="6" t="s">
        <v>253</v>
      </c>
    </row>
    <row r="17" spans="2:13" x14ac:dyDescent="0.25">
      <c r="B17" s="4" t="s">
        <v>103</v>
      </c>
      <c r="C17" s="119">
        <v>2023</v>
      </c>
      <c r="D17" s="96"/>
    </row>
    <row r="18" spans="2:13" x14ac:dyDescent="0.25">
      <c r="B18" s="4" t="s">
        <v>259</v>
      </c>
      <c r="C18" s="120" t="s">
        <v>174</v>
      </c>
      <c r="D18" s="26"/>
    </row>
    <row r="19" spans="2:13" x14ac:dyDescent="0.25">
      <c r="B19" s="121" t="s">
        <v>251</v>
      </c>
      <c r="C19" s="173">
        <f>VLOOKUP(C18,'CRF Lookup Table'!C3:F84,2, FALSE)</f>
        <v>519</v>
      </c>
      <c r="D19" s="97"/>
    </row>
    <row r="20" spans="2:13" x14ac:dyDescent="0.25">
      <c r="B20" s="121" t="s">
        <v>102</v>
      </c>
      <c r="C20" s="174">
        <f>VLOOKUP(C18,'CRF Lookup Table'!C3:F84,3, FALSE)</f>
        <v>0.25</v>
      </c>
      <c r="D20" s="98"/>
      <c r="F20" s="68"/>
    </row>
    <row r="21" spans="2:13" x14ac:dyDescent="0.25">
      <c r="B21" s="121" t="s">
        <v>101</v>
      </c>
      <c r="C21" s="175">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43347</v>
      </c>
      <c r="D25" s="99"/>
      <c r="I25" s="49"/>
    </row>
    <row r="26" spans="2:13" x14ac:dyDescent="0.25">
      <c r="I26" s="49"/>
    </row>
    <row r="27" spans="2:13" x14ac:dyDescent="0.25">
      <c r="B27" s="86" t="s">
        <v>269</v>
      </c>
      <c r="C27" s="87">
        <v>20411</v>
      </c>
      <c r="D27" s="99"/>
      <c r="I27" s="49"/>
    </row>
    <row r="28" spans="2:13" x14ac:dyDescent="0.25">
      <c r="B28" s="86" t="s">
        <v>150</v>
      </c>
      <c r="C28" s="87">
        <v>23100</v>
      </c>
      <c r="D28" s="99"/>
      <c r="I28" s="49"/>
    </row>
    <row r="29" spans="2:13" x14ac:dyDescent="0.25">
      <c r="B29" s="86" t="s">
        <v>270</v>
      </c>
      <c r="C29" s="88">
        <v>20935</v>
      </c>
      <c r="D29" s="69"/>
      <c r="I29" s="49"/>
    </row>
    <row r="30" spans="2:13" x14ac:dyDescent="0.25">
      <c r="B30" s="86" t="s">
        <v>151</v>
      </c>
      <c r="C30" s="88">
        <v>23100</v>
      </c>
      <c r="D30" s="69"/>
      <c r="I30" s="49"/>
    </row>
    <row r="31" spans="2:13" x14ac:dyDescent="0.25">
      <c r="B31" s="86" t="s">
        <v>271</v>
      </c>
      <c r="C31" s="87">
        <v>22700</v>
      </c>
      <c r="D31" s="99"/>
      <c r="H31" s="70"/>
    </row>
    <row r="32" spans="2:13" x14ac:dyDescent="0.25">
      <c r="B32" s="86" t="s">
        <v>152</v>
      </c>
      <c r="C32" s="87">
        <v>23100</v>
      </c>
      <c r="D32" s="99"/>
    </row>
    <row r="34" spans="2:9" ht="18.75" x14ac:dyDescent="0.3">
      <c r="B34" s="52" t="s">
        <v>88</v>
      </c>
      <c r="C34" s="53"/>
      <c r="D34" s="92"/>
      <c r="E34" s="53"/>
      <c r="F34" s="53"/>
      <c r="I34" s="70"/>
    </row>
    <row r="36" spans="2:9" x14ac:dyDescent="0.25">
      <c r="B36" s="10" t="s">
        <v>86</v>
      </c>
    </row>
    <row r="37" spans="2:9" x14ac:dyDescent="0.25">
      <c r="B37" s="9" t="s">
        <v>113</v>
      </c>
      <c r="C37" s="176">
        <f>Calculations!U37</f>
        <v>3132.554874196026</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0" customWidth="1"/>
    <col min="16" max="16" width="16.85546875" style="166" bestFit="1" customWidth="1"/>
    <col min="17" max="17" width="11.42578125" style="171"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6" t="s">
        <v>1</v>
      </c>
      <c r="D3" s="127" t="s">
        <v>252</v>
      </c>
      <c r="M3" s="128" t="s">
        <v>13</v>
      </c>
      <c r="N3" s="128" t="s">
        <v>135</v>
      </c>
      <c r="O3" s="129" t="s">
        <v>82</v>
      </c>
      <c r="P3" s="130" t="s">
        <v>14</v>
      </c>
      <c r="Q3" s="131" t="s">
        <v>83</v>
      </c>
      <c r="R3" s="128" t="s">
        <v>112</v>
      </c>
      <c r="S3" s="128" t="s">
        <v>81</v>
      </c>
      <c r="T3" s="128" t="s">
        <v>149</v>
      </c>
      <c r="U3" s="128" t="s">
        <v>156</v>
      </c>
    </row>
    <row r="4" spans="1:21" ht="15.75" x14ac:dyDescent="0.25">
      <c r="A4" s="125" t="s">
        <v>2</v>
      </c>
      <c r="B4" s="132">
        <v>2018</v>
      </c>
      <c r="D4" s="133" t="s">
        <v>144</v>
      </c>
      <c r="E4" s="134">
        <f>VLOOKUP(Year_Open_to_Traffic?,Calculations!M4:N36,2,Calculations!N4:N36)</f>
        <v>44138.989913392528</v>
      </c>
      <c r="G4" s="182" t="s">
        <v>260</v>
      </c>
      <c r="H4" s="182"/>
      <c r="I4" s="182"/>
      <c r="J4" s="182"/>
      <c r="L4" s="135"/>
      <c r="M4" s="136">
        <v>2018</v>
      </c>
      <c r="N4" s="137">
        <f>_2018_Volume_ADT</f>
        <v>43347</v>
      </c>
      <c r="O4" s="138" t="s">
        <v>85</v>
      </c>
      <c r="P4" s="139">
        <f>MIN(B12,1)</f>
        <v>0.8835930735930736</v>
      </c>
      <c r="Q4" s="140">
        <f>-(ROUNDUP(P4,0)-2)</f>
        <v>1</v>
      </c>
      <c r="R4" s="37">
        <f>IF(M4=Year_Open_to_Traffic?,Calculations!$J$5,0)</f>
        <v>0</v>
      </c>
      <c r="S4" s="54">
        <f t="shared" ref="S4:S36" si="0">IF(AND(M4&gt;=Year_Open_to_Traffic?,M4&lt;Year_Open_to_Traffic?+Years_to_include_in_BCA_Analysis),1,0)</f>
        <v>0</v>
      </c>
      <c r="T4" s="37">
        <f>(R4*S4)/10^3</f>
        <v>0</v>
      </c>
      <c r="U4" s="141">
        <f>T4/(1+Real_Discount_Rate)^(Calculations!M4-'Assumed Values'!$C$5)</f>
        <v>0</v>
      </c>
    </row>
    <row r="5" spans="1:21" ht="15.75" x14ac:dyDescent="0.25">
      <c r="A5" s="125" t="s">
        <v>56</v>
      </c>
      <c r="B5" s="125">
        <f>Service_Life</f>
        <v>10</v>
      </c>
      <c r="D5" s="133" t="s">
        <v>145</v>
      </c>
      <c r="E5" s="134">
        <f>$E$4*'Inputs &amp; Outputs'!$C$12</f>
        <v>30897.292939374769</v>
      </c>
      <c r="G5" s="183" t="s">
        <v>261</v>
      </c>
      <c r="H5" s="183"/>
      <c r="I5" s="183"/>
      <c r="J5" s="142">
        <f>SUMPRODUCT(Possible_Crash_Reductions,'Value of Statistical Life'!E5:E11)</f>
        <v>575717.50618017511</v>
      </c>
      <c r="L5" s="135"/>
      <c r="M5" s="143">
        <f t="shared" ref="M5:M36" si="1">M4+1</f>
        <v>2019</v>
      </c>
      <c r="N5" s="144">
        <f>N4+(N4*O5)</f>
        <v>43504.252881938934</v>
      </c>
      <c r="O5" s="145">
        <f t="shared" ref="O5:O11" si="2">IF(ISERROR(_2025_2045_Demand_Growth),_2018_2045_Demand_Growth,_2018_2025_Demand_Growth)</f>
        <v>3.6277685177505958E-3</v>
      </c>
      <c r="P5" s="146">
        <f t="shared" ref="P5:P11" si="3">P4*(1+IFERROR(_2018_2025_V_C_Growth,_2018_2045_V_C_Growth))</f>
        <v>0.88679854472795705</v>
      </c>
      <c r="Q5" s="147">
        <f t="shared" ref="Q5:Q36" si="4">-(ROUNDUP(P5,0)-2)</f>
        <v>1</v>
      </c>
      <c r="R5" s="37">
        <f>IF(M5=Year_Open_to_Traffic?,Calculations!$J$5,Calculations!R4+(Calculations!R4*Calculations!O5*Q5))</f>
        <v>0</v>
      </c>
      <c r="S5" s="54">
        <f t="shared" si="0"/>
        <v>0</v>
      </c>
      <c r="T5" s="37">
        <f t="shared" ref="T5:T36" si="5">(R5*S5)/10^3</f>
        <v>0</v>
      </c>
      <c r="U5" s="141">
        <f>T5/(1+Real_Discount_Rate)^(Calculations!M5-'Assumed Values'!$C$5)</f>
        <v>0</v>
      </c>
    </row>
    <row r="6" spans="1:21" ht="15.75" x14ac:dyDescent="0.25">
      <c r="A6" s="125" t="s">
        <v>262</v>
      </c>
      <c r="B6" s="125">
        <v>260</v>
      </c>
      <c r="D6" s="133" t="s">
        <v>146</v>
      </c>
      <c r="E6" s="134">
        <f>$E$5*$B$6</f>
        <v>8033296.1642374396</v>
      </c>
      <c r="L6" s="135"/>
      <c r="M6" s="136">
        <f t="shared" si="1"/>
        <v>2020</v>
      </c>
      <c r="N6" s="144">
        <f t="shared" ref="N6:N36" si="6">N5+(N5*O6)</f>
        <v>43662.076240932292</v>
      </c>
      <c r="O6" s="145">
        <f t="shared" si="2"/>
        <v>3.6277685177505958E-3</v>
      </c>
      <c r="P6" s="146">
        <f t="shared" si="3"/>
        <v>0.89001564457010818</v>
      </c>
      <c r="Q6" s="147">
        <f t="shared" si="4"/>
        <v>1</v>
      </c>
      <c r="R6" s="37">
        <f>IF(M6=Year_Open_to_Traffic?,Calculations!$J$5,Calculations!R5+(Calculations!R5*Calculations!O6*Q6))</f>
        <v>0</v>
      </c>
      <c r="S6" s="54">
        <f t="shared" si="0"/>
        <v>0</v>
      </c>
      <c r="T6" s="37">
        <f t="shared" si="5"/>
        <v>0</v>
      </c>
      <c r="U6" s="141">
        <f>T6/(1+Real_Discount_Rate)^(Calculations!M6-'Assumed Values'!$C$5)</f>
        <v>0</v>
      </c>
    </row>
    <row r="7" spans="1:21" ht="15.75" x14ac:dyDescent="0.25">
      <c r="B7" s="123"/>
      <c r="L7" s="135"/>
      <c r="M7" s="143">
        <f t="shared" si="1"/>
        <v>2021</v>
      </c>
      <c r="N7" s="144">
        <f t="shared" si="6"/>
        <v>43820.47214653877</v>
      </c>
      <c r="O7" s="145">
        <f t="shared" si="2"/>
        <v>3.6277685177505958E-3</v>
      </c>
      <c r="P7" s="146">
        <f t="shared" si="3"/>
        <v>0.89324441530578513</v>
      </c>
      <c r="Q7" s="147">
        <f t="shared" si="4"/>
        <v>1</v>
      </c>
      <c r="R7" s="37">
        <f>IF(M7=Year_Open_to_Traffic?,Calculations!$J$5,Calculations!R6+(Calculations!R6*Calculations!O7*Q7))</f>
        <v>0</v>
      </c>
      <c r="S7" s="54">
        <f t="shared" si="0"/>
        <v>0</v>
      </c>
      <c r="T7" s="37">
        <f t="shared" si="5"/>
        <v>0</v>
      </c>
      <c r="U7" s="141">
        <f>T7/(1+Real_Discount_Rate)^(Calculations!M7-'Assumed Values'!$C$5)</f>
        <v>0</v>
      </c>
    </row>
    <row r="8" spans="1:21" ht="15.75" x14ac:dyDescent="0.25">
      <c r="A8" s="148" t="s">
        <v>15</v>
      </c>
      <c r="B8" s="124"/>
      <c r="D8" s="149" t="s">
        <v>143</v>
      </c>
      <c r="E8" s="150"/>
      <c r="L8" s="135"/>
      <c r="M8" s="136">
        <f t="shared" si="1"/>
        <v>2022</v>
      </c>
      <c r="N8" s="144">
        <f t="shared" si="6"/>
        <v>43979.442675824954</v>
      </c>
      <c r="O8" s="145">
        <f t="shared" si="2"/>
        <v>3.6277685177505958E-3</v>
      </c>
      <c r="P8" s="146">
        <f t="shared" si="3"/>
        <v>0.89648489927428798</v>
      </c>
      <c r="Q8" s="147">
        <f t="shared" si="4"/>
        <v>1</v>
      </c>
      <c r="R8" s="37">
        <f>IF(M8=Year_Open_to_Traffic?,Calculations!$J$5,Calculations!R7+(Calculations!R7*Calculations!O8*Q8))</f>
        <v>0</v>
      </c>
      <c r="S8" s="54">
        <f t="shared" si="0"/>
        <v>0</v>
      </c>
      <c r="T8" s="37">
        <f t="shared" si="5"/>
        <v>0</v>
      </c>
      <c r="U8" s="141">
        <f>T8/(1+Real_Discount_Rate)^(Calculations!M8-'Assumed Values'!$C$5)</f>
        <v>0</v>
      </c>
    </row>
    <row r="9" spans="1:21" ht="15.75" x14ac:dyDescent="0.25">
      <c r="A9" s="151" t="s">
        <v>76</v>
      </c>
      <c r="B9" s="152">
        <f>(_2025_Peak_Period_Volume/'Inputs &amp; Outputs'!$C$27)^(1/(2025-2018))-1</f>
        <v>3.6277685177505958E-3</v>
      </c>
      <c r="D9" s="151" t="s">
        <v>137</v>
      </c>
      <c r="E9" s="153">
        <f>IF('Inputs &amp; Outputs'!$C$8='CRASH RATES'!$D$3, VLOOKUP('Inputs &amp; Outputs'!$C$7,'CRASH RATES'!$C$14:$J$21,3,FALSE), VLOOKUP('Inputs &amp; Outputs'!$C$7,'CRASH RATES'!$C$28:$J$35,3,FALSE))</f>
        <v>0.99344502357157671</v>
      </c>
      <c r="F9" s="154"/>
      <c r="L9" s="135"/>
      <c r="M9" s="143">
        <f t="shared" si="1"/>
        <v>2023</v>
      </c>
      <c r="N9" s="144">
        <f t="shared" si="6"/>
        <v>44138.989913392528</v>
      </c>
      <c r="O9" s="145">
        <f t="shared" si="2"/>
        <v>3.6277685177505958E-3</v>
      </c>
      <c r="P9" s="146">
        <f t="shared" si="3"/>
        <v>0.89973713896851404</v>
      </c>
      <c r="Q9" s="147">
        <f t="shared" si="4"/>
        <v>1</v>
      </c>
      <c r="R9" s="37">
        <f>IF(M9=Year_Open_to_Traffic?,Calculations!$J$5,Calculations!R8+(Calculations!R8*Calculations!O9*Q9))</f>
        <v>575717.50618017511</v>
      </c>
      <c r="S9" s="54">
        <f t="shared" si="0"/>
        <v>1</v>
      </c>
      <c r="T9" s="37">
        <f t="shared" si="5"/>
        <v>575.71750618017506</v>
      </c>
      <c r="U9" s="141">
        <f>T9/(1+Real_Discount_Rate)^(Calculations!M9-'Assumed Values'!$C$5)</f>
        <v>410.47862519326821</v>
      </c>
    </row>
    <row r="10" spans="1:21" ht="15.75" x14ac:dyDescent="0.25">
      <c r="A10" s="151" t="s">
        <v>106</v>
      </c>
      <c r="B10" s="152">
        <f>(_2045_Peak_Period_Volume/_2025_Peak_Period_Volume)^(1/(2045-2025))-1</f>
        <v>4.0553269255807489E-3</v>
      </c>
      <c r="D10" s="151" t="s">
        <v>138</v>
      </c>
      <c r="E10" s="153">
        <f>IF('Inputs &amp; Outputs'!$C$8='CRASH RATES'!$D$3, VLOOKUP('Inputs &amp; Outputs'!$C$7,'CRASH RATES'!$C$14:$J$21,4,FALSE), VLOOKUP('Inputs &amp; Outputs'!$C$7,'CRASH RATES'!$C$28:$J$35,4,FALSE))</f>
        <v>5.5495894420205314</v>
      </c>
      <c r="F10" s="154"/>
      <c r="L10" s="135"/>
      <c r="M10" s="136">
        <f t="shared" si="1"/>
        <v>2024</v>
      </c>
      <c r="N10" s="144">
        <f t="shared" si="6"/>
        <v>44299.115951405642</v>
      </c>
      <c r="O10" s="145">
        <f t="shared" si="2"/>
        <v>3.6277685177505958E-3</v>
      </c>
      <c r="P10" s="146">
        <f t="shared" si="3"/>
        <v>0.90300117703551497</v>
      </c>
      <c r="Q10" s="147">
        <f t="shared" si="4"/>
        <v>1</v>
      </c>
      <c r="R10" s="37">
        <f>IF(M10=Year_Open_to_Traffic?,Calculations!$J$5,Calculations!R9+(Calculations!R9*Calculations!O10*Q10))</f>
        <v>577806.07602421346</v>
      </c>
      <c r="S10" s="54">
        <f t="shared" si="0"/>
        <v>1</v>
      </c>
      <c r="T10" s="37">
        <f t="shared" si="5"/>
        <v>577.80607602421344</v>
      </c>
      <c r="U10" s="141">
        <f>T10/(1+Real_Discount_Rate)^(Calculations!M10-'Assumed Values'!$C$5)</f>
        <v>385.01658563266727</v>
      </c>
    </row>
    <row r="11" spans="1:21" ht="15.75" x14ac:dyDescent="0.25">
      <c r="A11" s="151" t="s">
        <v>107</v>
      </c>
      <c r="B11" s="152">
        <f>(_2045_Peak_Period_Volume/'Inputs &amp; Outputs'!$C$27)^(1/(2045-2018))-1</f>
        <v>3.9444609626462235E-3</v>
      </c>
      <c r="D11" s="151" t="s">
        <v>139</v>
      </c>
      <c r="E11" s="153">
        <f>IF('Inputs &amp; Outputs'!$C$8='CRASH RATES'!$D$3, VLOOKUP('Inputs &amp; Outputs'!$C$7,'CRASH RATES'!$C$14:$J$21,5,FALSE), VLOOKUP('Inputs &amp; Outputs'!$C$7,'CRASH RATES'!$C$28:$J$35,5,FALSE))</f>
        <v>33.605847176679887</v>
      </c>
      <c r="F11" s="154"/>
      <c r="L11" s="135"/>
      <c r="M11" s="143">
        <f t="shared" si="1"/>
        <v>2025</v>
      </c>
      <c r="N11" s="144">
        <f t="shared" si="6"/>
        <v>44459.822889618335</v>
      </c>
      <c r="O11" s="145">
        <f t="shared" si="2"/>
        <v>3.6277685177505958E-3</v>
      </c>
      <c r="P11" s="146">
        <f t="shared" si="3"/>
        <v>0.90627705627705613</v>
      </c>
      <c r="Q11" s="147">
        <f t="shared" si="4"/>
        <v>1</v>
      </c>
      <c r="R11" s="37">
        <f>IF(M11=Year_Open_to_Traffic?,Calculations!$J$5,Calculations!R10+(Calculations!R10*Calculations!O11*Q11))</f>
        <v>579902.22271617909</v>
      </c>
      <c r="S11" s="54">
        <f t="shared" si="0"/>
        <v>1</v>
      </c>
      <c r="T11" s="37">
        <f t="shared" si="5"/>
        <v>579.90222271617904</v>
      </c>
      <c r="U11" s="141">
        <f>T11/(1+Real_Discount_Rate)^(Calculations!M11-'Assumed Values'!$C$5)</f>
        <v>361.13395951480118</v>
      </c>
    </row>
    <row r="12" spans="1:21" ht="15.75" x14ac:dyDescent="0.25">
      <c r="A12" s="151" t="s">
        <v>75</v>
      </c>
      <c r="B12" s="155">
        <f>'Inputs &amp; Outputs'!C27/_2018_Peak_Period_Capacity</f>
        <v>0.8835930735930736</v>
      </c>
      <c r="D12" s="151" t="s">
        <v>140</v>
      </c>
      <c r="E12" s="153">
        <f>IF('Inputs &amp; Outputs'!$C$8='CRASH RATES'!$D$3, VLOOKUP('Inputs &amp; Outputs'!$C$7,'CRASH RATES'!$C$14:$J$21,6,FALSE), VLOOKUP('Inputs &amp; Outputs'!$C$7,'CRASH RATES'!$C$28:$J$35,6,FALSE))</f>
        <v>63.237914259073463</v>
      </c>
      <c r="F12" s="154"/>
      <c r="L12" s="135"/>
      <c r="M12" s="136">
        <f t="shared" si="1"/>
        <v>2026</v>
      </c>
      <c r="N12" s="144">
        <f t="shared" si="6"/>
        <v>44640.122006489153</v>
      </c>
      <c r="O12" s="145">
        <f t="shared" ref="O12:O36" si="7">IFERROR(_2025_2045_Demand_Growth,_2018_2045_Demand_Growth)</f>
        <v>4.0553269255807489E-3</v>
      </c>
      <c r="P12" s="146">
        <f t="shared" ref="P12:P36" si="8">P11*(1+IFERROR(_2025_2040_V_C_Growth,_2018_2045_V_C_Growth))</f>
        <v>0.90995230602541255</v>
      </c>
      <c r="Q12" s="147">
        <f t="shared" si="4"/>
        <v>1</v>
      </c>
      <c r="R12" s="37">
        <f>IF(M12=Year_Open_to_Traffic?,Calculations!$J$5,Calculations!R11+(Calculations!R11*Calculations!O12*Q12))</f>
        <v>582253.91581416409</v>
      </c>
      <c r="S12" s="54">
        <f t="shared" si="0"/>
        <v>1</v>
      </c>
      <c r="T12" s="37">
        <f t="shared" si="5"/>
        <v>582.25391581416409</v>
      </c>
      <c r="U12" s="141">
        <f>T12/(1+Real_Discount_Rate)^(Calculations!M12-'Assumed Values'!$C$5)</f>
        <v>338.87708017248889</v>
      </c>
    </row>
    <row r="13" spans="1:21" ht="15.75" x14ac:dyDescent="0.25">
      <c r="A13" s="151" t="s">
        <v>74</v>
      </c>
      <c r="B13" s="155">
        <f>_2025_Peak_Period_Volume/_2025_Peak_Period_Capacity</f>
        <v>0.90627705627705624</v>
      </c>
      <c r="D13" s="151" t="s">
        <v>141</v>
      </c>
      <c r="E13" s="153">
        <f>IF('Inputs &amp; Outputs'!$C$8='CRASH RATES'!$D$3, VLOOKUP('Inputs &amp; Outputs'!$C$7,'CRASH RATES'!$C$14:$J$21,7,FALSE), VLOOKUP('Inputs &amp; Outputs'!$C$7,'CRASH RATES'!$C$28:$J$35,7,FALSE))</f>
        <v>637.62042150819855</v>
      </c>
      <c r="F13" s="154"/>
      <c r="L13" s="135"/>
      <c r="M13" s="143">
        <f t="shared" si="1"/>
        <v>2027</v>
      </c>
      <c r="N13" s="144">
        <f t="shared" si="6"/>
        <v>44821.152295223277</v>
      </c>
      <c r="O13" s="145">
        <f t="shared" si="7"/>
        <v>4.0553269255807489E-3</v>
      </c>
      <c r="P13" s="146">
        <f t="shared" si="8"/>
        <v>0.91364246011303174</v>
      </c>
      <c r="Q13" s="147">
        <f t="shared" si="4"/>
        <v>1</v>
      </c>
      <c r="R13" s="37">
        <f>IF(M13=Year_Open_to_Traffic?,Calculations!$J$5,Calculations!R12+(Calculations!R12*Calculations!O13*Q13))</f>
        <v>584615.14579649013</v>
      </c>
      <c r="S13" s="54">
        <f t="shared" si="0"/>
        <v>1</v>
      </c>
      <c r="T13" s="37">
        <f t="shared" si="5"/>
        <v>584.61514579649008</v>
      </c>
      <c r="U13" s="141">
        <f>T13/(1+Real_Discount_Rate)^(Calculations!M13-'Assumed Values'!$C$5)</f>
        <v>317.99190422446219</v>
      </c>
    </row>
    <row r="14" spans="1:21" ht="15.75" x14ac:dyDescent="0.25">
      <c r="A14" s="151" t="s">
        <v>148</v>
      </c>
      <c r="B14" s="155">
        <f>_2045_Peak_Period_Volume/_2045_Peak_Period_Capacity</f>
        <v>0.98268398268398272</v>
      </c>
      <c r="D14" s="151" t="s">
        <v>142</v>
      </c>
      <c r="E14" s="153">
        <f>IF('Inputs &amp; Outputs'!$C$8='CRASH RATES'!$D$3, VLOOKUP('Inputs &amp; Outputs'!$C$7,'CRASH RATES'!$C$14:$J$21,8,FALSE), VLOOKUP('Inputs &amp; Outputs'!$C$7,'CRASH RATES'!$C$28:$J$35,8,FALSE))</f>
        <v>27.199839610890752</v>
      </c>
      <c r="F14" s="154"/>
      <c r="L14" s="135"/>
      <c r="M14" s="136">
        <f>M13+1</f>
        <v>2028</v>
      </c>
      <c r="N14" s="144">
        <f t="shared" si="6"/>
        <v>45002.91672096165</v>
      </c>
      <c r="O14" s="145">
        <f t="shared" si="7"/>
        <v>4.0553269255807489E-3</v>
      </c>
      <c r="P14" s="146">
        <f>P13*(1+IFERROR(_2025_2040_V_C_Growth,_2018_2045_V_C_Growth))</f>
        <v>0.91734757898188191</v>
      </c>
      <c r="Q14" s="147">
        <f t="shared" si="4"/>
        <v>1</v>
      </c>
      <c r="R14" s="37">
        <f>IF(M14=Year_Open_to_Traffic?,Calculations!$J$5,Calculations!R13+(Calculations!R13*Calculations!O14*Q14))</f>
        <v>586985.95133834099</v>
      </c>
      <c r="S14" s="54">
        <f t="shared" si="0"/>
        <v>1</v>
      </c>
      <c r="T14" s="37">
        <f t="shared" si="5"/>
        <v>586.98595133834101</v>
      </c>
      <c r="U14" s="141">
        <f>T14/(1+Real_Discount_Rate)^(Calculations!M14-'Assumed Values'!$C$5)</f>
        <v>298.39389285586958</v>
      </c>
    </row>
    <row r="15" spans="1:21" ht="15.75" x14ac:dyDescent="0.25">
      <c r="A15" s="151" t="s">
        <v>80</v>
      </c>
      <c r="B15" s="152">
        <f>(B13/B12)^(1/(2025-2018))-1</f>
        <v>3.6277685177505958E-3</v>
      </c>
      <c r="L15" s="135"/>
      <c r="M15" s="143">
        <f>M14+1</f>
        <v>2029</v>
      </c>
      <c r="N15" s="144">
        <f t="shared" si="6"/>
        <v>45185.418260869832</v>
      </c>
      <c r="O15" s="145">
        <f t="shared" si="7"/>
        <v>4.0553269255807489E-3</v>
      </c>
      <c r="P15" s="146">
        <f>P14*(1+IFERROR(_2025_2040_V_C_Growth,_2018_2045_V_C_Growth))</f>
        <v>0.92106772331904341</v>
      </c>
      <c r="Q15" s="147">
        <f t="shared" si="4"/>
        <v>1</v>
      </c>
      <c r="R15" s="37">
        <f>IF(M15=Year_Open_to_Traffic?,Calculations!$J$5,Calculations!R14+(Calculations!R14*Calculations!O15*Q15))</f>
        <v>589366.37127174099</v>
      </c>
      <c r="S15" s="54">
        <f t="shared" si="0"/>
        <v>1</v>
      </c>
      <c r="T15" s="37">
        <f t="shared" si="5"/>
        <v>589.36637127174095</v>
      </c>
      <c r="U15" s="141">
        <f>T15/(1+Real_Discount_Rate)^(Calculations!M15-'Assumed Values'!$C$5)</f>
        <v>280.00371742429604</v>
      </c>
    </row>
    <row r="16" spans="1:21" ht="15.75" x14ac:dyDescent="0.25">
      <c r="A16" s="151" t="s">
        <v>108</v>
      </c>
      <c r="B16" s="152">
        <f>(B14/B13)^(1/(2045-2025))-1</f>
        <v>4.0553269255807489E-3</v>
      </c>
      <c r="D16" s="156" t="s">
        <v>136</v>
      </c>
      <c r="E16" s="150"/>
      <c r="L16" s="135"/>
      <c r="M16" s="136">
        <f t="shared" si="1"/>
        <v>2030</v>
      </c>
      <c r="N16" s="144">
        <f t="shared" si="6"/>
        <v>45368.659904186767</v>
      </c>
      <c r="O16" s="145">
        <f t="shared" si="7"/>
        <v>4.0553269255807489E-3</v>
      </c>
      <c r="P16" s="146">
        <f t="shared" si="8"/>
        <v>0.92480295405770252</v>
      </c>
      <c r="Q16" s="147">
        <f t="shared" si="4"/>
        <v>1</v>
      </c>
      <c r="R16" s="37">
        <f>IF(M16=Year_Open_to_Traffic?,Calculations!$J$5,Calculations!R15+(Calculations!R15*Calculations!O16*Q16))</f>
        <v>591756.44458619109</v>
      </c>
      <c r="S16" s="54">
        <f t="shared" si="0"/>
        <v>1</v>
      </c>
      <c r="T16" s="37">
        <f t="shared" si="5"/>
        <v>591.75644458619104</v>
      </c>
      <c r="U16" s="141">
        <f>T16/(1+Real_Discount_Rate)^(Calculations!M16-'Assumed Values'!$C$5)</f>
        <v>262.74693835404628</v>
      </c>
    </row>
    <row r="17" spans="1:21" ht="15.75" x14ac:dyDescent="0.25">
      <c r="A17" s="151" t="s">
        <v>109</v>
      </c>
      <c r="B17" s="152">
        <f>(B14/B12)^(1/(2045-2018))-1</f>
        <v>3.9444609626462235E-3</v>
      </c>
      <c r="D17" s="151" t="s">
        <v>89</v>
      </c>
      <c r="E17" s="157">
        <f>($E$6*Death_Rate)/100000000</f>
        <v>7.9806380972383198E-2</v>
      </c>
      <c r="L17" s="135"/>
      <c r="M17" s="143">
        <f t="shared" si="1"/>
        <v>2031</v>
      </c>
      <c r="N17" s="144">
        <f t="shared" si="6"/>
        <v>45552.644652273731</v>
      </c>
      <c r="O17" s="145">
        <f t="shared" si="7"/>
        <v>4.0553269255807489E-3</v>
      </c>
      <c r="P17" s="146">
        <f t="shared" si="8"/>
        <v>0.9285533323781493</v>
      </c>
      <c r="Q17" s="147">
        <f t="shared" si="4"/>
        <v>1</v>
      </c>
      <c r="R17" s="37">
        <f>IF(M17=Year_Open_to_Traffic?,Calculations!$J$5,Calculations!R16+(Calculations!R16*Calculations!O17*Q17))</f>
        <v>594156.21042930742</v>
      </c>
      <c r="S17" s="54">
        <f t="shared" si="0"/>
        <v>1</v>
      </c>
      <c r="T17" s="37">
        <f t="shared" si="5"/>
        <v>594.15621042930741</v>
      </c>
      <c r="U17" s="141">
        <f>T17/(1+Real_Discount_Rate)^(Calculations!M17-'Assumed Values'!$C$5)</f>
        <v>246.55370382034332</v>
      </c>
    </row>
    <row r="18" spans="1:21" ht="15.75" x14ac:dyDescent="0.25">
      <c r="D18" s="151" t="s">
        <v>94</v>
      </c>
      <c r="E18" s="157">
        <f>($E$6*Incap_Injry_Rate)/100000000</f>
        <v>0.44581495577676122</v>
      </c>
      <c r="L18" s="135"/>
      <c r="M18" s="136">
        <f t="shared" si="1"/>
        <v>2032</v>
      </c>
      <c r="N18" s="144">
        <f t="shared" si="6"/>
        <v>45737.37551866351</v>
      </c>
      <c r="O18" s="145">
        <f t="shared" si="7"/>
        <v>4.0553269255807489E-3</v>
      </c>
      <c r="P18" s="146">
        <f t="shared" si="8"/>
        <v>0.93231891970878011</v>
      </c>
      <c r="Q18" s="147">
        <f t="shared" si="4"/>
        <v>1</v>
      </c>
      <c r="R18" s="37">
        <f>IF(M18=Year_Open_to_Traffic?,Calculations!$J$5,Calculations!R17+(Calculations!R17*Calculations!O18*Q18))</f>
        <v>596565.70810746239</v>
      </c>
      <c r="S18" s="54">
        <f t="shared" si="0"/>
        <v>1</v>
      </c>
      <c r="T18" s="37">
        <f t="shared" si="5"/>
        <v>596.56570810746234</v>
      </c>
      <c r="U18" s="141">
        <f>T18/(1+Real_Discount_Rate)^(Calculations!M18-'Assumed Values'!$C$5)</f>
        <v>231.35846700378281</v>
      </c>
    </row>
    <row r="19" spans="1:21" ht="15.75" x14ac:dyDescent="0.25">
      <c r="D19" s="151" t="s">
        <v>93</v>
      </c>
      <c r="E19" s="157">
        <f>($E$6*Nonincap_Injry_Rate)/100000000</f>
        <v>2.6996572322037213</v>
      </c>
      <c r="L19" s="135"/>
      <c r="M19" s="143">
        <f t="shared" si="1"/>
        <v>2033</v>
      </c>
      <c r="N19" s="144">
        <f t="shared" si="6"/>
        <v>45922.855529109744</v>
      </c>
      <c r="O19" s="145">
        <f t="shared" si="7"/>
        <v>4.0553269255807489E-3</v>
      </c>
      <c r="P19" s="146">
        <f t="shared" si="8"/>
        <v>0.93609977772710351</v>
      </c>
      <c r="Q19" s="147">
        <f t="shared" si="4"/>
        <v>1</v>
      </c>
      <c r="R19" s="37">
        <f>IF(M19=Year_Open_to_Traffic?,Calculations!$J$5,Calculations!R18+(Calculations!R18*Calculations!O19*Q19))</f>
        <v>598984.97708642867</v>
      </c>
      <c r="S19" s="54">
        <f t="shared" si="0"/>
        <v>0</v>
      </c>
      <c r="T19" s="37">
        <f t="shared" si="5"/>
        <v>0</v>
      </c>
      <c r="U19" s="141">
        <f>T19/(1+Real_Discount_Rate)^(Calculations!M19-'Assumed Values'!$C$5)</f>
        <v>0</v>
      </c>
    </row>
    <row r="20" spans="1:21" ht="15.75" x14ac:dyDescent="0.25">
      <c r="D20" s="151" t="s">
        <v>92</v>
      </c>
      <c r="E20" s="157">
        <f>($E$6*Poss_Injry_Rate/100000000)</f>
        <v>5.0800889405179097</v>
      </c>
      <c r="L20" s="135"/>
      <c r="M20" s="136">
        <f t="shared" si="1"/>
        <v>2034</v>
      </c>
      <c r="N20" s="144">
        <f t="shared" si="6"/>
        <v>46109.087721636497</v>
      </c>
      <c r="O20" s="145">
        <f t="shared" si="7"/>
        <v>4.0553269255807489E-3</v>
      </c>
      <c r="P20" s="146">
        <f t="shared" si="8"/>
        <v>0.9398959683607504</v>
      </c>
      <c r="Q20" s="147">
        <f t="shared" si="4"/>
        <v>1</v>
      </c>
      <c r="R20" s="37">
        <f>IF(M20=Year_Open_to_Traffic?,Calculations!$J$5,Calculations!R19+(Calculations!R19*Calculations!O20*Q20))</f>
        <v>601414.05699202558</v>
      </c>
      <c r="S20" s="54">
        <f t="shared" si="0"/>
        <v>0</v>
      </c>
      <c r="T20" s="37">
        <f t="shared" si="5"/>
        <v>0</v>
      </c>
      <c r="U20" s="141">
        <f>T20/(1+Real_Discount_Rate)^(Calculations!M20-'Assumed Values'!$C$5)</f>
        <v>0</v>
      </c>
    </row>
    <row r="21" spans="1:21" ht="15.75" x14ac:dyDescent="0.25">
      <c r="D21" s="151" t="s">
        <v>91</v>
      </c>
      <c r="E21" s="157">
        <f>($E$6*Non_Injry_Rate)/100000000</f>
        <v>51.221936863412708</v>
      </c>
      <c r="L21" s="135"/>
      <c r="M21" s="143">
        <f>M20+1</f>
        <v>2035</v>
      </c>
      <c r="N21" s="144">
        <f t="shared" si="6"/>
        <v>46296.075146588017</v>
      </c>
      <c r="O21" s="145">
        <f t="shared" si="7"/>
        <v>4.0553269255807489E-3</v>
      </c>
      <c r="P21" s="146">
        <f>P20*(1+IFERROR(_2025_2040_V_C_Growth,_2018_2045_V_C_Growth))</f>
        <v>0.94370755378848858</v>
      </c>
      <c r="Q21" s="147">
        <f t="shared" si="4"/>
        <v>1</v>
      </c>
      <c r="R21" s="37">
        <f>IF(M21=Year_Open_to_Traffic?,Calculations!$J$5,Calculations!R20+(Calculations!R20*Calculations!O21*Q21))</f>
        <v>603852.98761076806</v>
      </c>
      <c r="S21" s="54">
        <f t="shared" si="0"/>
        <v>0</v>
      </c>
      <c r="T21" s="37">
        <f t="shared" si="5"/>
        <v>0</v>
      </c>
      <c r="U21" s="141">
        <f>T21/(1+Real_Discount_Rate)^(Calculations!M21-'Assumed Values'!$C$5)</f>
        <v>0</v>
      </c>
    </row>
    <row r="22" spans="1:21" ht="15.75" x14ac:dyDescent="0.25">
      <c r="D22" s="151" t="s">
        <v>90</v>
      </c>
      <c r="E22" s="157">
        <f>($E$6*Unkn_Injry_Rate)/100000000</f>
        <v>2.1850436721404223</v>
      </c>
      <c r="L22" s="135"/>
      <c r="M22" s="136">
        <f>M21+1</f>
        <v>2036</v>
      </c>
      <c r="N22" s="144">
        <f t="shared" si="6"/>
        <v>46483.820866678681</v>
      </c>
      <c r="O22" s="145">
        <f t="shared" si="7"/>
        <v>4.0553269255807489E-3</v>
      </c>
      <c r="P22" s="146">
        <f t="shared" si="8"/>
        <v>0.94753459644124094</v>
      </c>
      <c r="Q22" s="147">
        <f t="shared" si="4"/>
        <v>1</v>
      </c>
      <c r="R22" s="37">
        <f>IF(M22=Year_Open_to_Traffic?,Calculations!$J$5,Calculations!R21+(Calculations!R21*Calculations!O22*Q22))</f>
        <v>606301.80889051838</v>
      </c>
      <c r="S22" s="54">
        <f t="shared" si="0"/>
        <v>0</v>
      </c>
      <c r="T22" s="37">
        <f t="shared" si="5"/>
        <v>0</v>
      </c>
      <c r="U22" s="141">
        <f>T22/(1+Real_Discount_Rate)^(Calculations!M22-'Assumed Values'!$C$5)</f>
        <v>0</v>
      </c>
    </row>
    <row r="23" spans="1:21" ht="15.75" x14ac:dyDescent="0.25">
      <c r="L23" s="135"/>
      <c r="M23" s="143">
        <f t="shared" si="1"/>
        <v>2037</v>
      </c>
      <c r="N23" s="144">
        <f t="shared" si="6"/>
        <v>46672.327957043199</v>
      </c>
      <c r="O23" s="145">
        <f t="shared" si="7"/>
        <v>4.0553269255807489E-3</v>
      </c>
      <c r="P23" s="146">
        <f t="shared" si="8"/>
        <v>0.95137715900310837</v>
      </c>
      <c r="Q23" s="147">
        <f t="shared" si="4"/>
        <v>1</v>
      </c>
      <c r="R23" s="37">
        <f>IF(M23=Year_Open_to_Traffic?,Calculations!$J$5,Calculations!R22+(Calculations!R22*Calculations!O23*Q23))</f>
        <v>608760.5609411404</v>
      </c>
      <c r="S23" s="54">
        <f t="shared" si="0"/>
        <v>0</v>
      </c>
      <c r="T23" s="37">
        <f t="shared" si="5"/>
        <v>0</v>
      </c>
      <c r="U23" s="141">
        <f>T23/(1+Real_Discount_Rate)^(Calculations!M23-'Assumed Values'!$C$5)</f>
        <v>0</v>
      </c>
    </row>
    <row r="24" spans="1:21" ht="15.75" x14ac:dyDescent="0.25">
      <c r="L24" s="135"/>
      <c r="M24" s="136">
        <f t="shared" si="1"/>
        <v>2038</v>
      </c>
      <c r="N24" s="144">
        <f t="shared" si="6"/>
        <v>46861.599505286933</v>
      </c>
      <c r="O24" s="145">
        <f t="shared" si="7"/>
        <v>4.0553269255807489E-3</v>
      </c>
      <c r="P24" s="146">
        <f t="shared" si="8"/>
        <v>0.95523530441239624</v>
      </c>
      <c r="Q24" s="147">
        <f t="shared" si="4"/>
        <v>1</v>
      </c>
      <c r="R24" s="37">
        <f>IF(M24=Year_Open_to_Traffic?,Calculations!$J$5,Calculations!R23+(Calculations!R23*Calculations!O24*Q24))</f>
        <v>611229.2840351566</v>
      </c>
      <c r="S24" s="54">
        <f t="shared" si="0"/>
        <v>0</v>
      </c>
      <c r="T24" s="37">
        <f t="shared" si="5"/>
        <v>0</v>
      </c>
      <c r="U24" s="141">
        <f>T24/(1+Real_Discount_Rate)^(Calculations!M24-'Assumed Values'!$C$5)</f>
        <v>0</v>
      </c>
    </row>
    <row r="25" spans="1:21" ht="15.75" x14ac:dyDescent="0.25">
      <c r="A25" s="180" t="s">
        <v>99</v>
      </c>
      <c r="B25" s="180"/>
      <c r="D25" s="158" t="s">
        <v>89</v>
      </c>
      <c r="E25" s="158" t="s">
        <v>94</v>
      </c>
      <c r="F25" s="158" t="s">
        <v>93</v>
      </c>
      <c r="G25" s="158" t="s">
        <v>92</v>
      </c>
      <c r="H25" s="158" t="s">
        <v>91</v>
      </c>
      <c r="I25" s="158" t="s">
        <v>90</v>
      </c>
      <c r="J25" s="181" t="s">
        <v>100</v>
      </c>
      <c r="L25" s="135"/>
      <c r="M25" s="143">
        <f t="shared" si="1"/>
        <v>2039</v>
      </c>
      <c r="N25" s="144">
        <f t="shared" si="6"/>
        <v>47051.638611536502</v>
      </c>
      <c r="O25" s="145">
        <f t="shared" si="7"/>
        <v>4.0553269255807489E-3</v>
      </c>
      <c r="P25" s="146">
        <f t="shared" si="8"/>
        <v>0.95910909586264514</v>
      </c>
      <c r="Q25" s="147">
        <f t="shared" si="4"/>
        <v>1</v>
      </c>
      <c r="R25" s="37">
        <f>IF(M25=Year_Open_to_Traffic?,Calculations!$J$5,Calculations!R24+(Calculations!R24*Calculations!O25*Q25))</f>
        <v>613708.01860840782</v>
      </c>
      <c r="S25" s="54">
        <f t="shared" si="0"/>
        <v>0</v>
      </c>
      <c r="T25" s="37">
        <f t="shared" si="5"/>
        <v>0</v>
      </c>
      <c r="U25" s="141">
        <f>T25/(1+Real_Discount_Rate)^(Calculations!M25-'Assumed Values'!$C$5)</f>
        <v>0</v>
      </c>
    </row>
    <row r="26" spans="1:21" ht="15.75" x14ac:dyDescent="0.25">
      <c r="A26" s="180"/>
      <c r="B26" s="180"/>
      <c r="D26" s="159">
        <f>Calculations!E17</f>
        <v>7.9806380972383198E-2</v>
      </c>
      <c r="E26" s="159">
        <f>Calculations!E18</f>
        <v>0.44581495577676122</v>
      </c>
      <c r="F26" s="159">
        <f>Calculations!E19</f>
        <v>2.6996572322037213</v>
      </c>
      <c r="G26" s="159">
        <f>Calculations!E20</f>
        <v>5.0800889405179097</v>
      </c>
      <c r="H26" s="159">
        <f>Calculations!E21</f>
        <v>51.221936863412708</v>
      </c>
      <c r="I26" s="159">
        <f>Calculations!E22</f>
        <v>2.1850436721404223</v>
      </c>
      <c r="J26" s="181"/>
      <c r="L26" s="135"/>
      <c r="M26" s="136">
        <f t="shared" si="1"/>
        <v>2040</v>
      </c>
      <c r="N26" s="144">
        <f t="shared" si="6"/>
        <v>47242.448388490564</v>
      </c>
      <c r="O26" s="145">
        <f t="shared" si="7"/>
        <v>4.0553269255807489E-3</v>
      </c>
      <c r="P26" s="146">
        <f t="shared" si="8"/>
        <v>0.96299859680366628</v>
      </c>
      <c r="Q26" s="147">
        <f t="shared" si="4"/>
        <v>1</v>
      </c>
      <c r="R26" s="37">
        <f>IF(M26=Year_Open_to_Traffic?,Calculations!$J$5,Calculations!R25+(Calculations!R25*Calculations!O26*Q26))</f>
        <v>616196.80526071531</v>
      </c>
      <c r="S26" s="54">
        <f t="shared" si="0"/>
        <v>0</v>
      </c>
      <c r="T26" s="37">
        <f t="shared" si="5"/>
        <v>0</v>
      </c>
      <c r="U26" s="141">
        <f>T26/(1+Real_Discount_Rate)^(Calculations!M26-'Assumed Values'!$C$5)</f>
        <v>0</v>
      </c>
    </row>
    <row r="27" spans="1:21" ht="15.75" x14ac:dyDescent="0.25">
      <c r="A27" s="160" t="s">
        <v>95</v>
      </c>
      <c r="B27" s="161" t="s">
        <v>96</v>
      </c>
      <c r="D27" s="162">
        <f>D$26*'Value of Statistical Life'!D17*Appropriate_Crash_Reduction_Factor</f>
        <v>0</v>
      </c>
      <c r="E27" s="162">
        <f>E$26*'Value of Statistical Life'!E17*Appropriate_Crash_Reduction_Factor</f>
        <v>3.8306650075118206E-3</v>
      </c>
      <c r="F27" s="162">
        <f>F$26*'Value of Statistical Life'!F17*Appropriate_Crash_Reduction_Factor</f>
        <v>5.6335097293011158E-2</v>
      </c>
      <c r="G27" s="162">
        <f>G$26*'Value of Statistical Life'!G17*Appropriate_Crash_Reduction_Factor</f>
        <v>0.2976551112472956</v>
      </c>
      <c r="H27" s="162">
        <f>H$26*'Value of Statistical Life'!H17*Appropriate_Crash_Reduction_Factor</f>
        <v>11.849426764297579</v>
      </c>
      <c r="I27" s="162">
        <f>I$26*'Value of Statistical Life'!I17*Appropriate_Crash_Reduction_Factor</f>
        <v>0.23858491856101269</v>
      </c>
      <c r="J27" s="162">
        <f t="shared" ref="J27:J33" si="9">SUM(D27:I27)</f>
        <v>12.445832556406412</v>
      </c>
      <c r="K27" s="163"/>
      <c r="L27" s="135"/>
      <c r="M27" s="143">
        <f t="shared" si="1"/>
        <v>2041</v>
      </c>
      <c r="N27" s="144">
        <f t="shared" si="6"/>
        <v>47434.03196147077</v>
      </c>
      <c r="O27" s="145">
        <f t="shared" si="7"/>
        <v>4.0553269255807489E-3</v>
      </c>
      <c r="P27" s="146">
        <f t="shared" si="8"/>
        <v>0.96690387094258068</v>
      </c>
      <c r="Q27" s="147">
        <f t="shared" si="4"/>
        <v>1</v>
      </c>
      <c r="R27" s="37">
        <f>IF(M27=Year_Open_to_Traffic?,Calculations!$J$5,Calculations!R26+(Calculations!R26*Calculations!O27*Q27))</f>
        <v>618695.68475654593</v>
      </c>
      <c r="S27" s="54">
        <f t="shared" si="0"/>
        <v>0</v>
      </c>
      <c r="T27" s="37">
        <f t="shared" si="5"/>
        <v>0</v>
      </c>
      <c r="U27" s="141">
        <f>T27/(1+Real_Discount_Rate)^(Calculations!M27-'Assumed Values'!$C$5)</f>
        <v>0</v>
      </c>
    </row>
    <row r="28" spans="1:21" ht="15.75" x14ac:dyDescent="0.25">
      <c r="A28" s="160" t="s">
        <v>61</v>
      </c>
      <c r="B28" s="164" t="s">
        <v>62</v>
      </c>
      <c r="D28" s="162">
        <f>D$26*'Value of Statistical Life'!D18*Appropriate_Crash_Reduction_Factor</f>
        <v>0</v>
      </c>
      <c r="E28" s="162">
        <f>E$26*'Value of Statistical Life'!E18*Appropriate_Crash_Reduction_Factor</f>
        <v>6.1799983707164087E-2</v>
      </c>
      <c r="F28" s="162">
        <f>F$26*'Value of Statistical Life'!F18*Appropriate_Crash_Reduction_Factor</f>
        <v>0.51862440173557633</v>
      </c>
      <c r="G28" s="162">
        <f>G$26*'Value of Statistical Life'!G18*Appropriate_Crash_Reduction_Factor</f>
        <v>0.87562953023236945</v>
      </c>
      <c r="H28" s="162">
        <f>H$26*'Value of Statistical Life'!H18*Appropriate_Crash_Reduction_Factor</f>
        <v>0.92929398954446496</v>
      </c>
      <c r="I28" s="162">
        <f>I$26*'Value of Statistical Life'!I18*Appropriate_Crash_Reduction_Factor</f>
        <v>0.2280038445786727</v>
      </c>
      <c r="J28" s="162">
        <f t="shared" si="9"/>
        <v>2.6133517497982472</v>
      </c>
      <c r="K28" s="163"/>
      <c r="L28" s="135"/>
      <c r="M28" s="136">
        <f t="shared" si="1"/>
        <v>2042</v>
      </c>
      <c r="N28" s="144">
        <f t="shared" si="6"/>
        <v>47626.392468472979</v>
      </c>
      <c r="O28" s="145">
        <f t="shared" si="7"/>
        <v>4.0553269255807489E-3</v>
      </c>
      <c r="P28" s="146">
        <f t="shared" si="8"/>
        <v>0.97082498224486236</v>
      </c>
      <c r="Q28" s="147">
        <f t="shared" si="4"/>
        <v>1</v>
      </c>
      <c r="R28" s="37">
        <f>IF(M28=Year_Open_to_Traffic?,Calculations!$J$5,Calculations!R27+(Calculations!R27*Calculations!O28*Q28))</f>
        <v>621204.6980256798</v>
      </c>
      <c r="S28" s="54">
        <f t="shared" si="0"/>
        <v>0</v>
      </c>
      <c r="T28" s="37">
        <f t="shared" si="5"/>
        <v>0</v>
      </c>
      <c r="U28" s="141">
        <f>T28/(1+Real_Discount_Rate)^(Calculations!M28-'Assumed Values'!$C$5)</f>
        <v>0</v>
      </c>
    </row>
    <row r="29" spans="1:21" ht="15.75" x14ac:dyDescent="0.25">
      <c r="A29" s="160" t="s">
        <v>63</v>
      </c>
      <c r="B29" s="164" t="s">
        <v>64</v>
      </c>
      <c r="D29" s="162">
        <f>D$26*'Value of Statistical Life'!D19*Appropriate_Crash_Reduction_Factor</f>
        <v>0</v>
      </c>
      <c r="E29" s="162">
        <f>E$26*'Value of Statistical Life'!E19*Appropriate_Crash_Reduction_Factor</f>
        <v>2.3302747738451309E-2</v>
      </c>
      <c r="F29" s="162">
        <f>F$26*'Value of Statistical Life'!F19*Appropriate_Crash_Reduction_Factor</f>
        <v>7.3552161291390389E-2</v>
      </c>
      <c r="G29" s="162">
        <f>G$26*'Value of Statistical Life'!G19*Appropriate_Crash_Reduction_Factor</f>
        <v>8.1167121047124896E-2</v>
      </c>
      <c r="H29" s="162">
        <f>H$26*'Value of Statistical Life'!H19*Appropriate_Crash_Reduction_Factor</f>
        <v>2.535485874738929E-2</v>
      </c>
      <c r="I29" s="162">
        <f>I$26*'Value of Statistical Life'!I19*Appropriate_Crash_Reduction_Factor</f>
        <v>4.8464268648074564E-2</v>
      </c>
      <c r="J29" s="162">
        <f t="shared" si="9"/>
        <v>0.25184115747243047</v>
      </c>
      <c r="K29" s="163"/>
      <c r="L29" s="135"/>
      <c r="M29" s="143">
        <f t="shared" si="1"/>
        <v>2043</v>
      </c>
      <c r="N29" s="144">
        <f t="shared" si="6"/>
        <v>47819.533060218651</v>
      </c>
      <c r="O29" s="145">
        <f t="shared" si="7"/>
        <v>4.0553269255807489E-3</v>
      </c>
      <c r="P29" s="146">
        <f t="shared" si="8"/>
        <v>0.9747619949353864</v>
      </c>
      <c r="Q29" s="147">
        <f t="shared" si="4"/>
        <v>1</v>
      </c>
      <c r="R29" s="37">
        <f>IF(M29=Year_Open_to_Traffic?,Calculations!$J$5,Calculations!R28+(Calculations!R28*Calculations!O29*Q29))</f>
        <v>623723.88616388058</v>
      </c>
      <c r="S29" s="54">
        <f t="shared" si="0"/>
        <v>0</v>
      </c>
      <c r="T29" s="37">
        <f t="shared" si="5"/>
        <v>0</v>
      </c>
      <c r="U29" s="141">
        <f>T29/(1+Real_Discount_Rate)^(Calculations!M29-'Assumed Values'!$C$5)</f>
        <v>0</v>
      </c>
    </row>
    <row r="30" spans="1:21" ht="15.75" x14ac:dyDescent="0.25">
      <c r="A30" s="160" t="s">
        <v>65</v>
      </c>
      <c r="B30" s="164" t="s">
        <v>66</v>
      </c>
      <c r="D30" s="162">
        <f>D$26*'Value of Statistical Life'!D20*Appropriate_Crash_Reduction_Factor</f>
        <v>0</v>
      </c>
      <c r="E30" s="162">
        <f>E$26*'Value of Statistical Life'!E20*Appropriate_Crash_Reduction_Factor</f>
        <v>1.6090576291372755E-2</v>
      </c>
      <c r="F30" s="162">
        <f>F$26*'Value of Statistical Life'!F20*Appropriate_Crash_Reduction_Factor</f>
        <v>2.1536515569905188E-2</v>
      </c>
      <c r="G30" s="162">
        <f>G$26*'Value of Statistical Life'!G20*Appropriate_Crash_Reduction_Factor</f>
        <v>1.3601938138236704E-2</v>
      </c>
      <c r="H30" s="162">
        <f>H$26*'Value of Statistical Life'!H20*Appropriate_Crash_Reduction_Factor</f>
        <v>1.0244387372682542E-3</v>
      </c>
      <c r="I30" s="162">
        <f>I$26*'Value of Statistical Life'!I20*Appropriate_Crash_Reduction_Factor</f>
        <v>2.6313388421751033E-2</v>
      </c>
      <c r="J30" s="162">
        <f t="shared" si="9"/>
        <v>7.856685715853394E-2</v>
      </c>
      <c r="K30" s="163"/>
      <c r="L30" s="135"/>
      <c r="M30" s="143">
        <f t="shared" si="1"/>
        <v>2044</v>
      </c>
      <c r="N30" s="144">
        <f t="shared" si="6"/>
        <v>48013.456900206453</v>
      </c>
      <c r="O30" s="145">
        <f t="shared" si="7"/>
        <v>4.0553269255807489E-3</v>
      </c>
      <c r="P30" s="146">
        <f t="shared" si="8"/>
        <v>0.97871497349948067</v>
      </c>
      <c r="Q30" s="147">
        <f t="shared" si="4"/>
        <v>1</v>
      </c>
      <c r="R30" s="37">
        <f>IF(M30=Year_Open_to_Traffic?,Calculations!$J$5,Calculations!R29+(Calculations!R29*Calculations!O30*Q30))</f>
        <v>626253.29043356888</v>
      </c>
      <c r="S30" s="54">
        <f t="shared" si="0"/>
        <v>0</v>
      </c>
      <c r="T30" s="37">
        <f t="shared" si="5"/>
        <v>0</v>
      </c>
      <c r="U30" s="141">
        <f>T30/(1+Real_Discount_Rate)^(Calculations!M30-'Assumed Values'!$C$5)</f>
        <v>0</v>
      </c>
    </row>
    <row r="31" spans="1:21" ht="15.75" x14ac:dyDescent="0.25">
      <c r="A31" s="160" t="s">
        <v>67</v>
      </c>
      <c r="B31" s="164" t="s">
        <v>68</v>
      </c>
      <c r="D31" s="162">
        <f>D$26*'Value of Statistical Life'!D21*Appropriate_Crash_Reduction_Factor</f>
        <v>0</v>
      </c>
      <c r="E31" s="162">
        <f>E$26*'Value of Statistical Life'!E21*Appropriate_Crash_Reduction_Factor</f>
        <v>4.4425460343154258E-3</v>
      </c>
      <c r="F31" s="162">
        <f>F$26*'Value of Statistical Life'!F21*Appropriate_Crash_Reduction_Factor</f>
        <v>4.1844687099157679E-3</v>
      </c>
      <c r="G31" s="162">
        <f>G$26*'Value of Statistical Life'!G21*Appropriate_Crash_Reduction_Factor</f>
        <v>1.8034315738838581E-3</v>
      </c>
      <c r="H31" s="162">
        <f>H$26*'Value of Statistical Life'!H21*Appropriate_Crash_Reduction_Factor</f>
        <v>0</v>
      </c>
      <c r="I31" s="162">
        <f>I$26*'Value of Statistical Life'!I21*Appropriate_Crash_Reduction_Factor</f>
        <v>3.3704298642766015E-3</v>
      </c>
      <c r="J31" s="162">
        <f t="shared" si="9"/>
        <v>1.3800876182391652E-2</v>
      </c>
      <c r="K31" s="163"/>
      <c r="L31" s="135"/>
      <c r="M31" s="143">
        <f t="shared" si="1"/>
        <v>2045</v>
      </c>
      <c r="N31" s="144">
        <f t="shared" si="6"/>
        <v>48208.167164764069</v>
      </c>
      <c r="O31" s="145">
        <f t="shared" si="7"/>
        <v>4.0553269255807489E-3</v>
      </c>
      <c r="P31" s="146">
        <f t="shared" si="8"/>
        <v>0.98268398268398216</v>
      </c>
      <c r="Q31" s="147">
        <f t="shared" si="4"/>
        <v>1</v>
      </c>
      <c r="R31" s="37">
        <f>IF(M31=Year_Open_to_Traffic?,Calculations!$J$5,Calculations!R30+(Calculations!R30*Calculations!O31*Q31))</f>
        <v>628792.95226449764</v>
      </c>
      <c r="S31" s="54">
        <f t="shared" si="0"/>
        <v>0</v>
      </c>
      <c r="T31" s="37">
        <f t="shared" si="5"/>
        <v>0</v>
      </c>
      <c r="U31" s="141">
        <f>T31/(1+Real_Discount_Rate)^(Calculations!M31-'Assumed Values'!$C$5)</f>
        <v>0</v>
      </c>
    </row>
    <row r="32" spans="1:21" ht="15.75" x14ac:dyDescent="0.25">
      <c r="A32" s="160" t="s">
        <v>69</v>
      </c>
      <c r="B32" s="164" t="s">
        <v>70</v>
      </c>
      <c r="D32" s="162">
        <f>D$26*'Value of Statistical Life'!D22*Appropriate_Crash_Reduction_Factor</f>
        <v>0</v>
      </c>
      <c r="E32" s="162">
        <f>E$26*'Value of Statistical Life'!E22*Appropriate_Crash_Reduction_Factor</f>
        <v>1.987220165374913E-3</v>
      </c>
      <c r="F32" s="162">
        <f>F$26*'Value of Statistical Life'!F22*Appropriate_Crash_Reduction_Factor</f>
        <v>6.8166345113143971E-4</v>
      </c>
      <c r="G32" s="162">
        <f>G$26*'Value of Statistical Life'!G22*Appropriate_Crash_Reduction_Factor</f>
        <v>1.6510289056683206E-4</v>
      </c>
      <c r="H32" s="162">
        <f>H$26*'Value of Statistical Life'!H22*Appropriate_Crash_Reduction_Factor</f>
        <v>3.8416452647559531E-4</v>
      </c>
      <c r="I32" s="162">
        <f>I$26*'Value of Statistical Life'!I22*Appropriate_Crash_Reduction_Factor</f>
        <v>1.5240679613179446E-3</v>
      </c>
      <c r="J32" s="162">
        <f t="shared" si="9"/>
        <v>4.7422189948667249E-3</v>
      </c>
      <c r="K32" s="163"/>
      <c r="L32" s="135"/>
      <c r="M32" s="143">
        <f t="shared" si="1"/>
        <v>2046</v>
      </c>
      <c r="N32" s="144">
        <f t="shared" si="6"/>
        <v>48403.667043100235</v>
      </c>
      <c r="O32" s="145">
        <f t="shared" si="7"/>
        <v>4.0553269255807489E-3</v>
      </c>
      <c r="P32" s="146">
        <f t="shared" si="8"/>
        <v>0.9866690874982974</v>
      </c>
      <c r="Q32" s="147">
        <f t="shared" si="4"/>
        <v>1</v>
      </c>
      <c r="R32" s="37">
        <f>IF(M32=Year_Open_to_Traffic?,Calculations!$J$5,Calculations!R31+(Calculations!R31*Calculations!O32*Q32))</f>
        <v>631342.91325443122</v>
      </c>
      <c r="S32" s="54">
        <f t="shared" si="0"/>
        <v>0</v>
      </c>
      <c r="T32" s="37">
        <f t="shared" si="5"/>
        <v>0</v>
      </c>
      <c r="U32" s="141">
        <f>T32/(1+Real_Discount_Rate)^(Calculations!M32-'Assumed Values'!$C$5)</f>
        <v>0</v>
      </c>
    </row>
    <row r="33" spans="1:21" ht="15.75" x14ac:dyDescent="0.25">
      <c r="A33" s="160" t="s">
        <v>71</v>
      </c>
      <c r="B33" s="164" t="s">
        <v>272</v>
      </c>
      <c r="D33" s="162">
        <f>D$26*'Value of Statistical Life'!D23*Appropriate_Crash_Reduction_Factor</f>
        <v>1.9951595243095799E-2</v>
      </c>
      <c r="E33" s="162">
        <f>E$26*'Value of Statistical Life'!E23*Appropriate_Crash_Reduction_Factor</f>
        <v>0</v>
      </c>
      <c r="F33" s="162">
        <f>F$26*'Value of Statistical Life'!F23*Appropriate_Crash_Reduction_Factor</f>
        <v>0</v>
      </c>
      <c r="G33" s="162">
        <f>G$26*'Value of Statistical Life'!G23*Appropriate_Crash_Reduction_Factor</f>
        <v>0</v>
      </c>
      <c r="H33" s="162">
        <f>H$26*'Value of Statistical Life'!H23*Appropriate_Crash_Reduction_Factor</f>
        <v>0</v>
      </c>
      <c r="I33" s="162">
        <f>I$26*'Value of Statistical Life'!I23*Appropriate_Crash_Reduction_Factor</f>
        <v>0</v>
      </c>
      <c r="J33" s="162">
        <f t="shared" si="9"/>
        <v>1.9951595243095799E-2</v>
      </c>
      <c r="K33" s="163"/>
      <c r="L33" s="135"/>
      <c r="M33" s="143">
        <f t="shared" si="1"/>
        <v>2047</v>
      </c>
      <c r="N33" s="144">
        <f t="shared" si="6"/>
        <v>48599.959737356963</v>
      </c>
      <c r="O33" s="145">
        <f t="shared" si="7"/>
        <v>4.0553269255807489E-3</v>
      </c>
      <c r="P33" s="146">
        <f t="shared" si="8"/>
        <v>0.99067035321546748</v>
      </c>
      <c r="Q33" s="147">
        <f t="shared" si="4"/>
        <v>1</v>
      </c>
      <c r="R33" s="37">
        <f>IF(M33=Year_Open_to_Traffic?,Calculations!$J$5,Calculations!R32+(Calculations!R32*Calculations!O33*Q33))</f>
        <v>633903.21516982652</v>
      </c>
      <c r="S33" s="54">
        <f t="shared" si="0"/>
        <v>0</v>
      </c>
      <c r="T33" s="37">
        <f t="shared" si="5"/>
        <v>0</v>
      </c>
      <c r="U33" s="141">
        <f>T33/(1+Real_Discount_Rate)^(Calculations!M33-'Assumed Values'!$C$5)</f>
        <v>0</v>
      </c>
    </row>
    <row r="34" spans="1:21" ht="15.75" x14ac:dyDescent="0.25">
      <c r="J34" s="165"/>
      <c r="L34" s="135"/>
      <c r="M34" s="143">
        <f t="shared" si="1"/>
        <v>2048</v>
      </c>
      <c r="N34" s="144">
        <f t="shared" si="6"/>
        <v>48797.048462662009</v>
      </c>
      <c r="O34" s="145">
        <f t="shared" si="7"/>
        <v>4.0553269255807489E-3</v>
      </c>
      <c r="P34" s="146">
        <f t="shared" si="8"/>
        <v>0.99468784537323673</v>
      </c>
      <c r="Q34" s="147">
        <f t="shared" si="4"/>
        <v>1</v>
      </c>
      <c r="R34" s="37">
        <f>IF(M34=Year_Open_to_Traffic?,Calculations!$J$5,Calculations!R33+(Calculations!R33*Calculations!O34*Q34))</f>
        <v>636473.89994651696</v>
      </c>
      <c r="S34" s="54">
        <f t="shared" si="0"/>
        <v>0</v>
      </c>
      <c r="T34" s="37">
        <f t="shared" si="5"/>
        <v>0</v>
      </c>
      <c r="U34" s="141">
        <f>T34/(1+Real_Discount_Rate)^(Calculations!M34-'Assumed Values'!$C$5)</f>
        <v>0</v>
      </c>
    </row>
    <row r="35" spans="1:21" ht="15.75" x14ac:dyDescent="0.25">
      <c r="G35" s="166"/>
      <c r="H35" s="166"/>
      <c r="L35" s="135"/>
      <c r="M35" s="143">
        <f t="shared" si="1"/>
        <v>2049</v>
      </c>
      <c r="N35" s="144">
        <f t="shared" si="6"/>
        <v>48994.936447181513</v>
      </c>
      <c r="O35" s="145">
        <f t="shared" si="7"/>
        <v>4.0553269255807489E-3</v>
      </c>
      <c r="P35" s="146">
        <f t="shared" si="8"/>
        <v>0.99872162977512668</v>
      </c>
      <c r="Q35" s="147">
        <f t="shared" si="4"/>
        <v>1</v>
      </c>
      <c r="R35" s="37">
        <f>IF(M35=Year_Open_to_Traffic?,Calculations!$J$5,Calculations!R34+(Calculations!R34*Calculations!O35*Q35))</f>
        <v>639055.00969039951</v>
      </c>
      <c r="S35" s="54">
        <f t="shared" si="0"/>
        <v>0</v>
      </c>
      <c r="T35" s="37">
        <f t="shared" si="5"/>
        <v>0</v>
      </c>
      <c r="U35" s="141">
        <f>T35/(1+Real_Discount_Rate)^(Calculations!M35-'Assumed Values'!$C$5)</f>
        <v>0</v>
      </c>
    </row>
    <row r="36" spans="1:21" ht="15.75" x14ac:dyDescent="0.25">
      <c r="G36" s="166"/>
      <c r="H36" s="166"/>
      <c r="L36" s="135"/>
      <c r="M36" s="143">
        <f t="shared" si="1"/>
        <v>2050</v>
      </c>
      <c r="N36" s="144">
        <f t="shared" si="6"/>
        <v>49193.626932172883</v>
      </c>
      <c r="O36" s="145">
        <f t="shared" si="7"/>
        <v>4.0553269255807489E-3</v>
      </c>
      <c r="P36" s="146">
        <f t="shared" si="8"/>
        <v>1.0027717724915137</v>
      </c>
      <c r="Q36" s="147">
        <f t="shared" si="4"/>
        <v>0</v>
      </c>
      <c r="R36" s="37">
        <f>IF(M36=Year_Open_to_Traffic?,Calculations!$J$5,Calculations!R35+(Calculations!R35*Calculations!O36*Q36))</f>
        <v>639055.00969039951</v>
      </c>
      <c r="S36" s="54">
        <f t="shared" si="0"/>
        <v>0</v>
      </c>
      <c r="T36" s="37">
        <f t="shared" si="5"/>
        <v>0</v>
      </c>
      <c r="U36" s="141">
        <f>T36/(1+Real_Discount_Rate)^(Calculations!M36-'Assumed Values'!$C$5)</f>
        <v>0</v>
      </c>
    </row>
    <row r="37" spans="1:21" x14ac:dyDescent="0.25">
      <c r="M37" s="164"/>
      <c r="N37" s="164"/>
      <c r="O37" s="167"/>
      <c r="P37" s="168"/>
      <c r="Q37" s="169"/>
      <c r="R37" s="164"/>
      <c r="S37" s="164"/>
      <c r="T37" s="164"/>
      <c r="U37" s="141">
        <f>SUM(U4:U36)</f>
        <v>3132.554874196026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4" t="s">
        <v>73</v>
      </c>
      <c r="C12" s="185"/>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2" t="s">
        <v>273</v>
      </c>
      <c r="M2" s="71"/>
      <c r="N2" s="71"/>
      <c r="O2" s="71"/>
      <c r="P2" s="71"/>
      <c r="Q2" s="104"/>
      <c r="R2" s="105"/>
      <c r="S2" s="105"/>
      <c r="T2" s="105"/>
      <c r="U2" s="105"/>
      <c r="V2" s="105"/>
      <c r="W2" s="105"/>
      <c r="X2" s="105"/>
      <c r="Y2" s="26"/>
    </row>
    <row r="3" spans="3:25" x14ac:dyDescent="0.25">
      <c r="C3" t="s">
        <v>120</v>
      </c>
      <c r="D3" t="s">
        <v>127</v>
      </c>
      <c r="G3" s="47" t="s">
        <v>130</v>
      </c>
      <c r="H3" s="172" t="s">
        <v>274</v>
      </c>
      <c r="M3" s="71"/>
      <c r="N3" s="71"/>
      <c r="O3" s="71"/>
      <c r="P3" s="71"/>
      <c r="Q3" s="104"/>
      <c r="R3" s="105"/>
      <c r="S3" s="105"/>
      <c r="T3" s="105"/>
      <c r="U3" s="105"/>
      <c r="V3" s="105"/>
      <c r="W3" s="105"/>
      <c r="X3" s="105"/>
      <c r="Y3" s="26"/>
    </row>
    <row r="4" spans="3:25" x14ac:dyDescent="0.25">
      <c r="C4" t="s">
        <v>122</v>
      </c>
      <c r="D4" t="s">
        <v>128</v>
      </c>
      <c r="G4" s="47" t="s">
        <v>131</v>
      </c>
      <c r="H4" s="172" t="s">
        <v>275</v>
      </c>
      <c r="M4" s="71"/>
      <c r="N4" s="71"/>
      <c r="O4" s="71"/>
      <c r="P4" s="71"/>
      <c r="Q4" s="104"/>
      <c r="R4" s="105"/>
      <c r="S4" s="105"/>
      <c r="T4" s="105"/>
      <c r="U4" s="105"/>
      <c r="V4" s="105"/>
      <c r="W4" s="105"/>
      <c r="X4" s="105"/>
      <c r="Y4" s="26"/>
    </row>
    <row r="5" spans="3:25" x14ac:dyDescent="0.25">
      <c r="C5" t="s">
        <v>119</v>
      </c>
      <c r="G5" s="47" t="s">
        <v>132</v>
      </c>
      <c r="H5" s="172" t="s">
        <v>276</v>
      </c>
      <c r="M5" s="71"/>
      <c r="N5" s="71"/>
      <c r="O5" s="71"/>
      <c r="P5" s="71"/>
      <c r="Q5" s="104"/>
      <c r="R5" s="105"/>
      <c r="S5" s="105"/>
      <c r="T5" s="105"/>
      <c r="U5" s="105"/>
      <c r="V5" s="105"/>
      <c r="W5" s="105"/>
      <c r="X5" s="105"/>
      <c r="Y5" s="26"/>
    </row>
    <row r="6" spans="3:25" x14ac:dyDescent="0.25">
      <c r="C6" t="s">
        <v>121</v>
      </c>
      <c r="G6" s="47" t="s">
        <v>133</v>
      </c>
      <c r="H6" s="172" t="s">
        <v>277</v>
      </c>
      <c r="M6" s="71"/>
      <c r="N6" s="71"/>
      <c r="O6" s="71"/>
      <c r="P6" s="71"/>
      <c r="Q6" s="104"/>
      <c r="R6" s="105"/>
      <c r="S6" s="105"/>
      <c r="T6" s="105"/>
      <c r="U6" s="105"/>
      <c r="V6" s="105"/>
      <c r="W6" s="105"/>
      <c r="X6" s="105"/>
      <c r="Y6" s="26"/>
    </row>
    <row r="7" spans="3:25" x14ac:dyDescent="0.25">
      <c r="C7" t="s">
        <v>118</v>
      </c>
      <c r="G7" s="47" t="s">
        <v>134</v>
      </c>
      <c r="H7" s="172"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6"/>
      <c r="T12" s="186"/>
      <c r="U12" s="186"/>
      <c r="V12" s="186"/>
      <c r="W12" s="186"/>
      <c r="X12" s="186"/>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6"/>
      <c r="T26" s="186"/>
      <c r="U26" s="186"/>
      <c r="V26" s="186"/>
      <c r="W26" s="186"/>
      <c r="X26" s="186"/>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2"/>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7" t="s">
        <v>97</v>
      </c>
      <c r="C24" s="187"/>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Marcello Victorino</cp:lastModifiedBy>
  <cp:lastPrinted>2018-08-02T18:58:13Z</cp:lastPrinted>
  <dcterms:created xsi:type="dcterms:W3CDTF">2012-07-25T15:48:32Z</dcterms:created>
  <dcterms:modified xsi:type="dcterms:W3CDTF">2018-10-31T18:37:26Z</dcterms:modified>
</cp:coreProperties>
</file>