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6301-00_Bellaire_TIP_Application_Support\04_ENGR\03_Documents\2. Traffic Management System\"/>
    </mc:Choice>
  </mc:AlternateContent>
  <bookViews>
    <workbookView xWindow="0" yWindow="0" windowWidth="28800" windowHeight="119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<sst xmlns="http://schemas.openxmlformats.org/spreadsheetml/2006/main" count="264" uniqueCount="131">
  <si>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</si>
  <si>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</si>
  <si>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</si>
  <si>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</si>
  <si>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</si>
  <si>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</si>
  <si>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</si>
  <si>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</si>
  <si>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</si>
  <si>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</si>
  <si>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</si>
  <si>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</si>
  <si>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</si>
  <si>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</si>
  <si>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</si>
  <si>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</si>
  <si>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</si>
  <si>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</si>
  <si>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</si>
  <si>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</si>
  <si>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</si>
  <si>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</si>
  <si>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</si>
  <si>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</si>
  <si>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</si>
  <si>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</si>
  <si>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</si>
  <si>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</si>
  <si>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</si>
  <si>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</si>
  <si>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</si>
  <si>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</si>
  <si>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</si>
  <si>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</si>
  <si>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</si>
  <si>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</si>
  <si>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</si>
  <si>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</si>
  <si>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</si>
  <si>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</si>
  <si>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</si>
  <si>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</si>
  <si>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</si>
  <si>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</si>
  <si>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</si>
  <si>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</si>
  <si>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</si>
  <si>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</si>
  <si>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</si>
  <si>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</si>
  <si>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</si>
  <si>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</si>
  <si>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</si>
  <si>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</si>
  <si>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</si>
  <si>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</si>
  <si>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</si>
  <si>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</si>
  <si>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</si>
  <si>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</si>
  <si>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</si>
  <si>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</si>
  <si>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</si>
  <si>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</si>
  <si>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</si>
  <si>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</si>
  <si>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</si>
  <si>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</si>
  <si>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</si>
  <si>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</si>
  <si>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</si>
  <si>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</si>
  <si>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</si>
  <si>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</si>
  <si>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</si>
  <si>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</si>
  <si>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</si>
  <si>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</si>
  <si>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</si>
  <si>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</si>
  <si>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</si>
  <si>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</si>
  <si>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</si>
  <si>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</si>
  <si>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</si>
  <si>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</si>
  <si>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</si>
  <si>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</si>
  <si>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</si>
  <si>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</si>
  <si>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</si>
  <si>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</si>
  <si>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</si>
  <si>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</si>
  <si>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</si>
  <si>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</si>
  <si>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</si>
  <si>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</si>
  <si>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</si>
  <si>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</si>
  <si>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</si>
  <si>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</si>
  <si>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</si>
  <si>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</si>
  <si>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</si>
  <si>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</si>
  <si>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</si>
  <si>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</si>
  <si>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</si>
  <si>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</si>
  <si>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</si>
  <si>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</si>
  <si>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</si>
  <si>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</si>
  <si>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</si>
  <si>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</si>
  <si>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</si>
  <si>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</si>
  <si>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</si>
  <si>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</si>
  <si>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</si>
  <si>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</si>
  <si>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</si>
  <si>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</si>
  <si>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</si>
  <si>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</si>
  <si>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</si>
  <si>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</si>
  <si>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</si>
  <si>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N/A</t>
  </si>
  <si>
    <t>Traffic Management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</si>
</sst>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quotePrefix="1" applyFill="1" applyBorder="1" applyAlignment="1" applyProtection="1">
      <alignment horizontal="left"/>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2" t="s">
        <v>29</v>
      </c>
      <c r="E6" s="123"/>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2" t="s">
        <v>29</v>
      </c>
      <c r="E6" s="123"/>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2" t="s">
        <v>30</v>
      </c>
      <c r="E8" s="123"/>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9" zoomScaleNormal="100" workbookViewId="0">
      <selection activeCell="B24" sqref="B24"/>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121" t="s">
        <v>130</v>
      </c>
      <c r="D6" s="6"/>
      <c r="E6" s="99" t="s">
        <v>91</v>
      </c>
    </row>
    <row r="7" spans="1:5" x14ac:dyDescent="0.25">
      <c r="A7" s="6" t="s">
        <v>51</v>
      </c>
      <c r="B7" s="6" t="s">
        <v>129</v>
      </c>
      <c r="D7" s="98"/>
      <c r="E7" s="99" t="s">
        <v>127</v>
      </c>
    </row>
    <row r="8" spans="1:5" x14ac:dyDescent="0.25">
      <c r="A8" s="6" t="s">
        <v>52</v>
      </c>
      <c r="B8" s="6" t="s">
        <v>129</v>
      </c>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123</v>
      </c>
    </row>
    <row r="15" spans="1:5" x14ac:dyDescent="0.25">
      <c r="A15" s="106" t="s">
        <v>87</v>
      </c>
      <c r="B15" s="57" t="s">
        <v>76</v>
      </c>
    </row>
    <row r="16" spans="1:5" x14ac:dyDescent="0.25">
      <c r="A16" s="106" t="s">
        <v>88</v>
      </c>
      <c r="B16" s="57">
        <v>8.4</v>
      </c>
    </row>
    <row r="17" spans="1:3" x14ac:dyDescent="0.25">
      <c r="A17" s="107" t="s">
        <v>95</v>
      </c>
      <c r="B17" s="57">
        <v>19</v>
      </c>
    </row>
    <row r="18" spans="1:3" x14ac:dyDescent="0.25">
      <c r="A18" s="107" t="s">
        <v>96</v>
      </c>
      <c r="B18" s="57">
        <v>25</v>
      </c>
    </row>
    <row r="19" spans="1:3" x14ac:dyDescent="0.25">
      <c r="A19" s="96" t="s">
        <v>97</v>
      </c>
      <c r="B19" s="97">
        <f>VLOOKUP(B14,'Service Life'!C6:D8,2,FALSE)</f>
        <v>12</v>
      </c>
    </row>
    <row r="21" spans="1:3" x14ac:dyDescent="0.25">
      <c r="A21" s="102" t="s">
        <v>89</v>
      </c>
    </row>
    <row r="22" spans="1:3" ht="20.25" customHeight="1" x14ac:dyDescent="0.25">
      <c r="A22" s="107" t="s">
        <v>90</v>
      </c>
      <c r="B22" s="119">
        <v>19758</v>
      </c>
    </row>
    <row r="23" spans="1:3" ht="30" x14ac:dyDescent="0.25">
      <c r="A23" s="118" t="s">
        <v>101</v>
      </c>
      <c r="B23" s="120">
        <v>22276</v>
      </c>
    </row>
    <row r="24" spans="1:3" ht="30" x14ac:dyDescent="0.25">
      <c r="A24" s="118" t="s">
        <v>102</v>
      </c>
      <c r="B24" s="120">
        <v>25416</v>
      </c>
    </row>
    <row r="27" spans="1:3" ht="18.75" x14ac:dyDescent="0.3">
      <c r="A27" s="100" t="s">
        <v>55</v>
      </c>
      <c r="B27" s="101"/>
    </row>
    <row r="29" spans="1:3" x14ac:dyDescent="0.25">
      <c r="A29" s="108" t="s">
        <v>53</v>
      </c>
    </row>
    <row r="30" spans="1:3" x14ac:dyDescent="0.25">
      <c r="A30" s="105" t="s">
        <v>112</v>
      </c>
      <c r="B30" s="114">
        <f>'Benefit Calculations'!M37</f>
        <v>12444.269044266375</v>
      </c>
    </row>
    <row r="31" spans="1:3" x14ac:dyDescent="0.25">
      <c r="A31" s="105" t="s">
        <v>113</v>
      </c>
      <c r="B31" s="114">
        <f>'Benefit Calculations'!Q37</f>
        <v>1640.8431516034593</v>
      </c>
      <c r="C31" s="109"/>
    </row>
    <row r="32" spans="1:3" x14ac:dyDescent="0.25">
      <c r="A32" s="110"/>
      <c r="B32" s="111"/>
      <c r="C32" s="109"/>
    </row>
    <row r="33" spans="1:9" x14ac:dyDescent="0.25">
      <c r="A33" s="108" t="s">
        <v>94</v>
      </c>
      <c r="B33" s="111"/>
      <c r="C33" s="109"/>
    </row>
    <row r="34" spans="1:9" x14ac:dyDescent="0.25">
      <c r="A34" s="105" t="s">
        <v>114</v>
      </c>
      <c r="B34" s="114">
        <f>$B$30+$B$31</f>
        <v>14085.112195869835</v>
      </c>
      <c r="C34" s="109"/>
    </row>
    <row r="35" spans="1:9" x14ac:dyDescent="0.25">
      <c r="I35" s="112"/>
    </row>
    <row r="36" spans="1:9" x14ac:dyDescent="0.25">
      <c r="A36" s="108" t="s">
        <v>107</v>
      </c>
    </row>
    <row r="37" spans="1:9" x14ac:dyDescent="0.25">
      <c r="A37" s="105" t="s">
        <v>116</v>
      </c>
      <c r="B37" s="115">
        <f>'Benefit Calculations'!K37</f>
        <v>2.8881381954373815</v>
      </c>
    </row>
    <row r="38" spans="1:9" x14ac:dyDescent="0.25">
      <c r="A38" s="105" t="s">
        <v>117</v>
      </c>
      <c r="B38" s="115">
        <f>'Benefit Calculations'!O37</f>
        <v>1.5008764072520528</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19758</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20099.488880744215</v>
      </c>
      <c r="H5" s="79">
        <f>$C$9</f>
        <v>1.7283575298320475E-2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20446.879910272313</v>
      </c>
      <c r="H6" s="79">
        <f t="shared" ref="H6:H11" si="7">$C$9</f>
        <v>1.7283575298320475E-2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20800.275098817219</v>
      </c>
      <c r="H7" s="79">
        <f t="shared" si="7"/>
        <v>1.7283575298320475E-2</v>
      </c>
      <c r="I7" s="70">
        <f>IF(AND(F7&gt;='Inputs &amp; Outputs'!B$13,F7&lt;'Inputs &amp; Outputs'!B$13+'Inputs &amp; Outputs'!B$19),1,0)</f>
        <v>1</v>
      </c>
      <c r="J7" s="71">
        <f>I7*'Inputs &amp; Outputs'!B$16*'Benefit Calculations'!G7*('Benefit Calculations'!C$4-'Benefit Calculations'!C$5)</f>
        <v>785.27174977140078</v>
      </c>
      <c r="K7" s="89">
        <f t="shared" si="3"/>
        <v>0.22505980588344174</v>
      </c>
      <c r="L7" s="72">
        <f>K7*'Assumed Values'!$C$8</f>
        <v>1689.7490225728807</v>
      </c>
      <c r="M7" s="73">
        <f t="shared" si="0"/>
        <v>1379.3385396046347</v>
      </c>
      <c r="N7" s="88">
        <f>I7*'Inputs &amp; Outputs'!B$16*'Benefit Calculations'!G7*('Benefit Calculations'!D$4-'Benefit Calculations'!D$5)</f>
        <v>408.08152614558168</v>
      </c>
      <c r="O7" s="89">
        <f t="shared" si="4"/>
        <v>0.11695664473563382</v>
      </c>
      <c r="P7" s="72">
        <f>ABS(O7*'Assumed Values'!$C$7)</f>
        <v>222.80240822138242</v>
      </c>
      <c r="Q7" s="73">
        <f t="shared" si="1"/>
        <v>181.87313279728338</v>
      </c>
      <c r="T7" s="85">
        <f t="shared" si="5"/>
        <v>0.20417065494056422</v>
      </c>
      <c r="U7" s="86">
        <f>T7*'Assumed Values'!$D$8</f>
        <v>0</v>
      </c>
    </row>
    <row r="8" spans="2:21" x14ac:dyDescent="0.25">
      <c r="B8" s="15" t="s">
        <v>17</v>
      </c>
      <c r="F8" s="70">
        <f t="shared" si="2"/>
        <v>2022</v>
      </c>
      <c r="G8" s="80">
        <f t="shared" si="6"/>
        <v>21159.778219713407</v>
      </c>
      <c r="H8" s="79">
        <f t="shared" si="7"/>
        <v>1.7283575298320475E-2</v>
      </c>
      <c r="I8" s="70">
        <f>IF(AND(F8&gt;='Inputs &amp; Outputs'!B$13,F8&lt;'Inputs &amp; Outputs'!B$13+'Inputs &amp; Outputs'!B$19),1,0)</f>
        <v>1</v>
      </c>
      <c r="J8" s="71">
        <f>I8*'Inputs &amp; Outputs'!B$16*'Benefit Calculations'!G8*('Benefit Calculations'!C$4-'Benefit Calculations'!C$5)</f>
        <v>798.84405318821871</v>
      </c>
      <c r="K8" s="89">
        <f t="shared" si="3"/>
        <v>0.2289496439850536</v>
      </c>
      <c r="L8" s="72">
        <f>K8*'Assumed Values'!$C$8</f>
        <v>1718.9539270397825</v>
      </c>
      <c r="M8" s="73">
        <f t="shared" si="0"/>
        <v>1311.3817206689409</v>
      </c>
      <c r="N8" s="88">
        <f>I8*'Inputs &amp; Outputs'!B$16*'Benefit Calculations'!G8*('Benefit Calculations'!D$4-'Benefit Calculations'!D$5)</f>
        <v>415.13463393057236</v>
      </c>
      <c r="O8" s="89">
        <f t="shared" si="4"/>
        <v>0.11897807371156106</v>
      </c>
      <c r="P8" s="72">
        <f>ABS(O8*'Assumed Values'!$C$7)</f>
        <v>226.65323042052384</v>
      </c>
      <c r="Q8" s="73">
        <f t="shared" si="1"/>
        <v>172.91266428292212</v>
      </c>
      <c r="T8" s="85">
        <f t="shared" si="5"/>
        <v>0.20769945382893684</v>
      </c>
      <c r="U8" s="86">
        <f>T8*'Assumed Values'!$D$8</f>
        <v>0</v>
      </c>
    </row>
    <row r="9" spans="2:21" x14ac:dyDescent="0.25">
      <c r="B9" s="16" t="s">
        <v>104</v>
      </c>
      <c r="C9" s="67">
        <f>('Inputs &amp; Outputs'!B23/'Inputs &amp; Outputs'!B22)^(1/(2025-2018))-1</f>
        <v>1.7283575298320475E-2</v>
      </c>
      <c r="F9" s="70">
        <f t="shared" si="2"/>
        <v>2023</v>
      </c>
      <c r="G9" s="80">
        <f t="shared" si="6"/>
        <v>21525.494839869585</v>
      </c>
      <c r="H9" s="79">
        <f t="shared" si="7"/>
        <v>1.7283575298320475E-2</v>
      </c>
      <c r="I9" s="70">
        <f>IF(AND(F9&gt;='Inputs &amp; Outputs'!B$13,F9&lt;'Inputs &amp; Outputs'!B$13+'Inputs &amp; Outputs'!B$19),1,0)</f>
        <v>1</v>
      </c>
      <c r="J9" s="71">
        <f>I9*'Inputs &amp; Outputs'!B$16*'Benefit Calculations'!G9*('Benefit Calculations'!C$4-'Benefit Calculations'!C$5)</f>
        <v>812.65093453311272</v>
      </c>
      <c r="K9" s="89">
        <f t="shared" si="3"/>
        <v>0.23290671239639291</v>
      </c>
      <c r="L9" s="72">
        <f>K9*'Assumed Values'!$C$8</f>
        <v>1748.663596672118</v>
      </c>
      <c r="M9" s="73">
        <f t="shared" si="0"/>
        <v>1246.7729769934238</v>
      </c>
      <c r="N9" s="88">
        <f>I9*'Inputs &amp; Outputs'!B$16*'Benefit Calculations'!G9*('Benefit Calculations'!D$4-'Benefit Calculations'!D$5)</f>
        <v>422.30964463505211</v>
      </c>
      <c r="O9" s="89">
        <f t="shared" si="4"/>
        <v>0.12103444020740395</v>
      </c>
      <c r="P9" s="72">
        <f>ABS(O9*'Assumed Values'!$C$7)</f>
        <v>230.57060859510452</v>
      </c>
      <c r="Q9" s="73">
        <f t="shared" si="1"/>
        <v>164.39365732344783</v>
      </c>
      <c r="T9" s="85">
        <f t="shared" si="5"/>
        <v>0.21128924297860932</v>
      </c>
      <c r="U9" s="86">
        <f>T9*'Assumed Values'!$D$8</f>
        <v>0</v>
      </c>
    </row>
    <row r="10" spans="2:21" x14ac:dyDescent="0.25">
      <c r="B10" s="16" t="s">
        <v>105</v>
      </c>
      <c r="C10" s="67">
        <f>('Inputs &amp; Outputs'!B24/'Inputs &amp; Outputs'!B23)^(1/(2045-2020))-1</f>
        <v>5.2886972950414446E-3</v>
      </c>
      <c r="F10" s="70">
        <f t="shared" si="2"/>
        <v>2024</v>
      </c>
      <c r="G10" s="80">
        <f t="shared" si="6"/>
        <v>21897.532350768081</v>
      </c>
      <c r="H10" s="79">
        <f t="shared" si="7"/>
        <v>1.7283575298320475E-2</v>
      </c>
      <c r="I10" s="70">
        <f>IF(AND(F10&gt;='Inputs &amp; Outputs'!B$13,F10&lt;'Inputs &amp; Outputs'!B$13+'Inputs &amp; Outputs'!B$19),1,0)</f>
        <v>1</v>
      </c>
      <c r="J10" s="71">
        <f>I10*'Inputs &amp; Outputs'!B$16*'Benefit Calculations'!G10*('Benefit Calculations'!C$4-'Benefit Calculations'!C$5)</f>
        <v>826.69644815136633</v>
      </c>
      <c r="K10" s="89">
        <f t="shared" si="3"/>
        <v>0.23693217309758025</v>
      </c>
      <c r="L10" s="72">
        <f>K10*'Assumed Values'!$C$8</f>
        <v>1778.8867556166324</v>
      </c>
      <c r="M10" s="73">
        <f t="shared" si="0"/>
        <v>1185.347356655328</v>
      </c>
      <c r="N10" s="88">
        <f>I10*'Inputs &amp; Outputs'!B$16*'Benefit Calculations'!G10*('Benefit Calculations'!D$4-'Benefit Calculations'!D$5)</f>
        <v>429.60866517730904</v>
      </c>
      <c r="O10" s="89">
        <f t="shared" si="4"/>
        <v>0.1231263480684187</v>
      </c>
      <c r="P10" s="72">
        <f>ABS(O10*'Assumed Values'!$C$7)</f>
        <v>234.55569307033761</v>
      </c>
      <c r="Q10" s="73">
        <f t="shared" si="1"/>
        <v>156.29436212931213</v>
      </c>
      <c r="T10" s="85">
        <f t="shared" si="5"/>
        <v>0.21494107651935523</v>
      </c>
      <c r="U10" s="86">
        <f>T10*'Assumed Values'!$D$8</f>
        <v>0</v>
      </c>
    </row>
    <row r="11" spans="2:21" x14ac:dyDescent="0.25">
      <c r="B11" s="16" t="s">
        <v>106</v>
      </c>
      <c r="C11" s="67">
        <f>('Inputs &amp; Outputs'!B24/'Inputs &amp; Outputs'!B22)^(1/(2045-2018))-1</f>
        <v>9.3703114178469438E-3</v>
      </c>
      <c r="F11" s="70">
        <f t="shared" si="2"/>
        <v>2025</v>
      </c>
      <c r="G11" s="80">
        <f>'Inputs &amp; Outputs'!$B$23</f>
        <v>22276</v>
      </c>
      <c r="H11" s="79">
        <f t="shared" si="7"/>
        <v>1.7283575298320475E-2</v>
      </c>
      <c r="I11" s="70">
        <f>IF(AND(F11&gt;='Inputs &amp; Outputs'!B$13,F11&lt;'Inputs &amp; Outputs'!B$13+'Inputs &amp; Outputs'!B$19),1,0)</f>
        <v>1</v>
      </c>
      <c r="J11" s="71">
        <f>I11*'Inputs &amp; Outputs'!B$16*'Benefit Calculations'!G11*('Benefit Calculations'!C$4-'Benefit Calculations'!C$5)</f>
        <v>840.98471846184498</v>
      </c>
      <c r="K11" s="89">
        <f t="shared" si="3"/>
        <v>0.24102720815190712</v>
      </c>
      <c r="L11" s="72">
        <f>K11*'Assumed Values'!$C$8</f>
        <v>1809.6322788045186</v>
      </c>
      <c r="M11" s="73">
        <f t="shared" si="0"/>
        <v>1126.9480345315383</v>
      </c>
      <c r="N11" s="88">
        <f>I11*'Inputs &amp; Outputs'!B$16*'Benefit Calculations'!G11*('Benefit Calculations'!D$4-'Benefit Calculations'!D$5)</f>
        <v>437.03383889071216</v>
      </c>
      <c r="O11" s="89">
        <f t="shared" si="4"/>
        <v>0.12525441157646647</v>
      </c>
      <c r="P11" s="72">
        <f>ABS(O11*'Assumed Values'!$C$7)</f>
        <v>238.60965405316861</v>
      </c>
      <c r="Q11" s="73">
        <f t="shared" si="1"/>
        <v>148.59410047278234</v>
      </c>
      <c r="T11" s="85">
        <f t="shared" si="5"/>
        <v>0.2186560268000797</v>
      </c>
      <c r="U11" s="86">
        <f>T11*'Assumed Values'!$D$8</f>
        <v>0</v>
      </c>
    </row>
    <row r="12" spans="2:21" x14ac:dyDescent="0.25">
      <c r="B12" s="27"/>
      <c r="C12" s="68"/>
      <c r="F12" s="70">
        <f t="shared" si="2"/>
        <v>2026</v>
      </c>
      <c r="G12" s="80">
        <f t="shared" si="6"/>
        <v>22393.811020944344</v>
      </c>
      <c r="H12" s="79">
        <f>$C$10</f>
        <v>5.2886972950414446E-3</v>
      </c>
      <c r="I12" s="70">
        <f>IF(AND(F12&gt;='Inputs &amp; Outputs'!B$13,F12&lt;'Inputs &amp; Outputs'!B$13+'Inputs &amp; Outputs'!B$19),1,0)</f>
        <v>1</v>
      </c>
      <c r="J12" s="71">
        <f>I12*'Inputs &amp; Outputs'!B$16*'Benefit Calculations'!G12*('Benefit Calculations'!C$4-'Benefit Calculations'!C$5)</f>
        <v>845.43243206754528</v>
      </c>
      <c r="K12" s="89">
        <f t="shared" si="3"/>
        <v>0.24230192809569148</v>
      </c>
      <c r="L12" s="72">
        <f>K12*'Assumed Values'!$C$8</f>
        <v>1819.2028761424517</v>
      </c>
      <c r="M12" s="73">
        <f t="shared" si="0"/>
        <v>1058.7926369658107</v>
      </c>
      <c r="N12" s="88">
        <f>I12*'Inputs &amp; Outputs'!B$16*'Benefit Calculations'!G12*('Benefit Calculations'!D$4-'Benefit Calculations'!D$5)</f>
        <v>439.34517857229508</v>
      </c>
      <c r="O12" s="89">
        <f t="shared" si="4"/>
        <v>0.12591684424416294</v>
      </c>
      <c r="P12" s="72">
        <f>ABS(O12*'Assumed Values'!$C$7)</f>
        <v>239.8715882851304</v>
      </c>
      <c r="Q12" s="73">
        <f t="shared" si="1"/>
        <v>139.60744830842231</v>
      </c>
      <c r="T12" s="85">
        <f t="shared" si="5"/>
        <v>0.21981243233756176</v>
      </c>
      <c r="U12" s="86">
        <f>T12*'Assumed Values'!$D$8</f>
        <v>0</v>
      </c>
    </row>
    <row r="13" spans="2:21" x14ac:dyDescent="0.25">
      <c r="B13" s="27"/>
      <c r="C13" s="68"/>
      <c r="F13" s="70">
        <f t="shared" si="2"/>
        <v>2027</v>
      </c>
      <c r="G13" s="80">
        <f t="shared" si="6"/>
        <v>22512.245108716481</v>
      </c>
      <c r="H13" s="79">
        <f t="shared" ref="H13:H36" si="8">$C$10</f>
        <v>5.2886972950414446E-3</v>
      </c>
      <c r="I13" s="70">
        <f>IF(AND(F13&gt;='Inputs &amp; Outputs'!B$13,F13&lt;'Inputs &amp; Outputs'!B$13+'Inputs &amp; Outputs'!B$19),1,0)</f>
        <v>1</v>
      </c>
      <c r="J13" s="71">
        <f>I13*'Inputs &amp; Outputs'!B$16*'Benefit Calculations'!G13*('Benefit Calculations'!C$4-'Benefit Calculations'!C$5)</f>
        <v>849.90366828416131</v>
      </c>
      <c r="K13" s="89">
        <f t="shared" si="3"/>
        <v>0.24358338964739451</v>
      </c>
      <c r="L13" s="72">
        <f>K13*'Assumed Values'!$C$8</f>
        <v>1828.824089472638</v>
      </c>
      <c r="M13" s="73">
        <f t="shared" si="0"/>
        <v>994.75913151489874</v>
      </c>
      <c r="N13" s="88">
        <f>I13*'Inputs &amp; Outputs'!B$16*'Benefit Calculations'!G13*('Benefit Calculations'!D$4-'Benefit Calculations'!D$5)</f>
        <v>441.66874222979993</v>
      </c>
      <c r="O13" s="89">
        <f t="shared" si="4"/>
        <v>0.12658278031771722</v>
      </c>
      <c r="P13" s="72">
        <f>ABS(O13*'Assumed Values'!$C$7)</f>
        <v>241.14019650525131</v>
      </c>
      <c r="Q13" s="73">
        <f t="shared" si="1"/>
        <v>131.16428957257824</v>
      </c>
      <c r="T13" s="85">
        <f t="shared" si="5"/>
        <v>0.22097495375388193</v>
      </c>
      <c r="U13" s="86">
        <f>T13*'Assumed Values'!$D$8</f>
        <v>0</v>
      </c>
    </row>
    <row r="14" spans="2:21" x14ac:dyDescent="0.25">
      <c r="B14" s="27"/>
      <c r="C14" s="68"/>
      <c r="F14" s="70">
        <f t="shared" si="2"/>
        <v>2028</v>
      </c>
      <c r="G14" s="80">
        <f t="shared" si="6"/>
        <v>22631.30555852826</v>
      </c>
      <c r="H14" s="79">
        <f t="shared" si="8"/>
        <v>5.2886972950414446E-3</v>
      </c>
      <c r="I14" s="70">
        <f>IF(AND(F14&gt;='Inputs &amp; Outputs'!B$13,F14&lt;'Inputs &amp; Outputs'!B$13+'Inputs &amp; Outputs'!B$19),1,0)</f>
        <v>1</v>
      </c>
      <c r="J14" s="71">
        <f>I14*'Inputs &amp; Outputs'!B$16*'Benefit Calculations'!G14*('Benefit Calculations'!C$4-'Benefit Calculations'!C$5)</f>
        <v>854.39855151566144</v>
      </c>
      <c r="K14" s="89">
        <f t="shared" si="3"/>
        <v>0.2448716284613397</v>
      </c>
      <c r="L14" s="72">
        <f>K14*'Assumed Values'!$C$8</f>
        <v>1838.4961864877384</v>
      </c>
      <c r="M14" s="73">
        <f t="shared" si="0"/>
        <v>934.59823499341996</v>
      </c>
      <c r="N14" s="88">
        <f>I14*'Inputs &amp; Outputs'!B$16*'Benefit Calculations'!G14*('Benefit Calculations'!D$4-'Benefit Calculations'!D$5)</f>
        <v>444.00459451213499</v>
      </c>
      <c r="O14" s="89">
        <f t="shared" si="4"/>
        <v>0.12725223832558236</v>
      </c>
      <c r="P14" s="72">
        <f>ABS(O14*'Assumed Values'!$C$7)</f>
        <v>242.41551401023438</v>
      </c>
      <c r="Q14" s="73">
        <f t="shared" si="1"/>
        <v>123.23175494957641</v>
      </c>
      <c r="T14" s="85">
        <f t="shared" si="5"/>
        <v>0.22214362339407198</v>
      </c>
      <c r="U14" s="86">
        <f>T14*'Assumed Values'!$D$8</f>
        <v>0</v>
      </c>
    </row>
    <row r="15" spans="2:21" x14ac:dyDescent="0.25">
      <c r="B15" s="27"/>
      <c r="C15" s="69"/>
      <c r="F15" s="70">
        <f t="shared" si="2"/>
        <v>2029</v>
      </c>
      <c r="G15" s="80">
        <f t="shared" si="6"/>
        <v>22750.995683018904</v>
      </c>
      <c r="H15" s="79">
        <f t="shared" si="8"/>
        <v>5.2886972950414446E-3</v>
      </c>
      <c r="I15" s="70">
        <f>IF(AND(F15&gt;='Inputs &amp; Outputs'!B$13,F15&lt;'Inputs &amp; Outputs'!B$13+'Inputs &amp; Outputs'!B$19),1,0)</f>
        <v>1</v>
      </c>
      <c r="J15" s="71">
        <f>I15*'Inputs &amp; Outputs'!B$16*'Benefit Calculations'!G15*('Benefit Calculations'!C$4-'Benefit Calculations'!C$5)</f>
        <v>858.91720682394964</v>
      </c>
      <c r="K15" s="89">
        <f t="shared" si="3"/>
        <v>0.24616668038041553</v>
      </c>
      <c r="L15" s="72">
        <f>K15*'Assumed Values'!$C$8</f>
        <v>1848.2194362961598</v>
      </c>
      <c r="M15" s="73">
        <f t="shared" si="0"/>
        <v>878.07574032783157</v>
      </c>
      <c r="N15" s="88">
        <f>I15*'Inputs &amp; Outputs'!B$16*'Benefit Calculations'!G15*('Benefit Calculations'!D$4-'Benefit Calculations'!D$5)</f>
        <v>446.35280041011725</v>
      </c>
      <c r="O15" s="89">
        <f t="shared" si="4"/>
        <v>0.12792523689420279</v>
      </c>
      <c r="P15" s="72">
        <f>ABS(O15*'Assumed Values'!$C$7)</f>
        <v>243.69757628345633</v>
      </c>
      <c r="Q15" s="73">
        <f t="shared" si="1"/>
        <v>115.77896298938448</v>
      </c>
      <c r="T15" s="85">
        <f t="shared" si="5"/>
        <v>0.22331847377422689</v>
      </c>
      <c r="U15" s="86">
        <f>T15*'Assumed Values'!$D$8</f>
        <v>0</v>
      </c>
    </row>
    <row r="16" spans="2:21" x14ac:dyDescent="0.25">
      <c r="B16" s="27"/>
      <c r="C16" s="69"/>
      <c r="F16" s="70">
        <f t="shared" si="2"/>
        <v>2030</v>
      </c>
      <c r="G16" s="80">
        <f t="shared" si="6"/>
        <v>22871.318812347185</v>
      </c>
      <c r="H16" s="79">
        <f t="shared" si="8"/>
        <v>5.2886972950414446E-3</v>
      </c>
      <c r="I16" s="70">
        <f>IF(AND(F16&gt;='Inputs &amp; Outputs'!B$13,F16&lt;'Inputs &amp; Outputs'!B$13+'Inputs &amp; Outputs'!B$19),1,0)</f>
        <v>1</v>
      </c>
      <c r="J16" s="71">
        <f>I16*'Inputs &amp; Outputs'!B$16*'Benefit Calculations'!G16*('Benefit Calculations'!C$4-'Benefit Calculations'!C$5)</f>
        <v>863.45975993234413</v>
      </c>
      <c r="K16" s="89">
        <f t="shared" si="3"/>
        <v>0.24746858143707282</v>
      </c>
      <c r="L16" s="72">
        <f>K16*'Assumed Values'!$C$8</f>
        <v>1857.9941094295427</v>
      </c>
      <c r="M16" s="73">
        <f t="shared" si="0"/>
        <v>824.97160478555634</v>
      </c>
      <c r="N16" s="88">
        <f>I16*'Inputs &amp; Outputs'!B$16*'Benefit Calculations'!G16*('Benefit Calculations'!D$4-'Benefit Calculations'!D$5)</f>
        <v>448.71342525828044</v>
      </c>
      <c r="O16" s="89">
        <f t="shared" si="4"/>
        <v>0.12860179474853273</v>
      </c>
      <c r="P16" s="72">
        <f>ABS(O16*'Assumed Values'!$C$7)</f>
        <v>244.98641899595484</v>
      </c>
      <c r="Q16" s="73">
        <f t="shared" si="1"/>
        <v>108.7768998857656</v>
      </c>
      <c r="T16" s="85">
        <f t="shared" si="5"/>
        <v>0.22449953758240948</v>
      </c>
      <c r="U16" s="86">
        <f>T16*'Assumed Values'!$D$8</f>
        <v>0</v>
      </c>
    </row>
    <row r="17" spans="2:21" x14ac:dyDescent="0.25">
      <c r="B17" s="27"/>
      <c r="C17" s="69"/>
      <c r="F17" s="70">
        <f t="shared" si="2"/>
        <v>2031</v>
      </c>
      <c r="G17" s="80">
        <f t="shared" si="6"/>
        <v>22992.278294284075</v>
      </c>
      <c r="H17" s="79">
        <f t="shared" si="8"/>
        <v>5.2886972950414446E-3</v>
      </c>
      <c r="I17" s="70">
        <f>IF(AND(F17&gt;='Inputs &amp; Outputs'!B$13,F17&lt;'Inputs &amp; Outputs'!B$13+'Inputs &amp; Outputs'!B$19),1,0)</f>
        <v>1</v>
      </c>
      <c r="J17" s="71">
        <f>I17*'Inputs &amp; Outputs'!B$16*'Benefit Calculations'!G17*('Benefit Calculations'!C$4-'Benefit Calculations'!C$5)</f>
        <v>868.02633722907535</v>
      </c>
      <c r="K17" s="89">
        <f t="shared" si="3"/>
        <v>0.24877736785432678</v>
      </c>
      <c r="L17" s="72">
        <f>K17*'Assumed Values'!$C$8</f>
        <v>1867.8204778502854</v>
      </c>
      <c r="M17" s="73">
        <f t="shared" si="0"/>
        <v>775.07909334604824</v>
      </c>
      <c r="N17" s="88">
        <f>I17*'Inputs &amp; Outputs'!B$16*'Benefit Calculations'!G17*('Benefit Calculations'!D$4-'Benefit Calculations'!D$5)</f>
        <v>451.08653473669267</v>
      </c>
      <c r="O17" s="89">
        <f t="shared" si="4"/>
        <v>0.12928193071255675</v>
      </c>
      <c r="P17" s="72">
        <f>ABS(O17*'Assumed Values'!$C$7)</f>
        <v>246.28207800742061</v>
      </c>
      <c r="Q17" s="73">
        <f t="shared" si="1"/>
        <v>102.19830652519104</v>
      </c>
      <c r="T17" s="85">
        <f t="shared" si="5"/>
        <v>0.22568684767955957</v>
      </c>
      <c r="U17" s="86">
        <f>T17*'Assumed Values'!$D$8</f>
        <v>0</v>
      </c>
    </row>
    <row r="18" spans="2:21" x14ac:dyDescent="0.25">
      <c r="F18" s="70">
        <f t="shared" si="2"/>
        <v>2032</v>
      </c>
      <c r="G18" s="80">
        <f t="shared" si="6"/>
        <v>23113.877494305896</v>
      </c>
      <c r="H18" s="79">
        <f t="shared" si="8"/>
        <v>5.2886972950414446E-3</v>
      </c>
      <c r="I18" s="70">
        <f>IF(AND(F18&gt;='Inputs &amp; Outputs'!B$13,F18&lt;'Inputs &amp; Outputs'!B$13+'Inputs &amp; Outputs'!B$19),1,0)</f>
        <v>1</v>
      </c>
      <c r="J18" s="71">
        <f>I18*'Inputs &amp; Outputs'!B$16*'Benefit Calculations'!G18*('Benefit Calculations'!C$4-'Benefit Calculations'!C$5)</f>
        <v>872.61706577080349</v>
      </c>
      <c r="K18" s="89">
        <f t="shared" si="3"/>
        <v>0.25009307604676551</v>
      </c>
      <c r="L18" s="72">
        <f>K18*'Assumed Values'!$C$8</f>
        <v>1877.6988149591155</v>
      </c>
      <c r="M18" s="73">
        <f t="shared" si="0"/>
        <v>728.20397387894457</v>
      </c>
      <c r="N18" s="88">
        <f>I18*'Inputs &amp; Outputs'!B$16*'Benefit Calculations'!G18*('Benefit Calculations'!D$4-'Benefit Calculations'!D$5)</f>
        <v>453.47219487278426</v>
      </c>
      <c r="O18" s="89">
        <f t="shared" si="4"/>
        <v>0.12996566370981399</v>
      </c>
      <c r="P18" s="72">
        <f>ABS(O18*'Assumed Values'!$C$7)</f>
        <v>247.58458936719566</v>
      </c>
      <c r="Q18" s="73">
        <f t="shared" si="1"/>
        <v>96.017572366793132</v>
      </c>
      <c r="T18" s="85">
        <f t="shared" si="5"/>
        <v>0.22688043710040892</v>
      </c>
      <c r="U18" s="86">
        <f>T18*'Assumed Values'!$D$8</f>
        <v>0</v>
      </c>
    </row>
    <row r="19" spans="2:21" x14ac:dyDescent="0.25">
      <c r="F19" s="70">
        <f t="shared" si="2"/>
        <v>2033</v>
      </c>
      <c r="G19" s="80">
        <f t="shared" si="6"/>
        <v>23236.119795687951</v>
      </c>
      <c r="H19" s="79">
        <f t="shared" si="8"/>
        <v>5.2886972950414446E-3</v>
      </c>
      <c r="I19" s="70">
        <f>IF(AND(F19&gt;='Inputs &amp; Outputs'!B$13,F19&lt;'Inputs &amp; Outputs'!B$13+'Inputs &amp; Outputs'!B$19),1,0)</f>
        <v>0</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23359.008599598666</v>
      </c>
      <c r="H20" s="79">
        <f t="shared" si="8"/>
        <v>5.2886972950414446E-3</v>
      </c>
      <c r="I20" s="70">
        <f>IF(AND(F20&gt;='Inputs &amp; Outputs'!B$13,F20&lt;'Inputs &amp; Outputs'!B$13+'Inputs &amp; Outputs'!B$19),1,0)</f>
        <v>0</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23482.547325194213</v>
      </c>
      <c r="H21" s="79">
        <f t="shared" si="8"/>
        <v>5.2886972950414446E-3</v>
      </c>
      <c r="I21" s="70">
        <f>IF(AND(F21&gt;='Inputs &amp; Outputs'!B$13,F21&lt;'Inputs &amp; Outputs'!B$13+'Inputs &amp; Outputs'!B$19),1,0)</f>
        <v>0</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23606.739409713649</v>
      </c>
      <c r="H22" s="79">
        <f t="shared" si="8"/>
        <v>5.2886972950414446E-3</v>
      </c>
      <c r="I22" s="70">
        <f>IF(AND(F22&gt;='Inputs &amp; Outputs'!B$13,F22&lt;'Inputs &amp; Outputs'!B$13+'Inputs &amp; Outputs'!B$19),1,0)</f>
        <v>0</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23731.588308574552</v>
      </c>
      <c r="H23" s="79">
        <f t="shared" si="8"/>
        <v>5.2886972950414446E-3</v>
      </c>
      <c r="I23" s="70">
        <f>IF(AND(F23&gt;='Inputs &amp; Outputs'!B$13,F23&lt;'Inputs &amp; Outputs'!B$13+'Inputs &amp; Outputs'!B$19),1,0)</f>
        <v>0</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23857.097495469148</v>
      </c>
      <c r="H24" s="79">
        <f t="shared" si="8"/>
        <v>5.2886972950414446E-3</v>
      </c>
      <c r="I24" s="70">
        <f>IF(AND(F24&gt;='Inputs &amp; Outputs'!B$13,F24&lt;'Inputs &amp; Outputs'!B$13+'Inputs &amp; Outputs'!B$19),1,0)</f>
        <v>0</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23983.270462460976</v>
      </c>
      <c r="H25" s="79">
        <f t="shared" si="8"/>
        <v>5.2886972950414446E-3</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24110.110720082041</v>
      </c>
      <c r="H26" s="79">
        <f t="shared" si="8"/>
        <v>5.2886972950414446E-3</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24237.621797430489</v>
      </c>
      <c r="H27" s="79">
        <f t="shared" si="8"/>
        <v>5.2886972950414446E-3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24365.807242268798</v>
      </c>
      <c r="H28" s="79">
        <f t="shared" si="8"/>
        <v>5.2886972950414446E-3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24494.670621122488</v>
      </c>
      <c r="H29" s="79">
        <f t="shared" si="8"/>
        <v>5.2886972950414446E-3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24624.215519379351</v>
      </c>
      <c r="H30" s="79">
        <f t="shared" si="8"/>
        <v>5.2886972950414446E-3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25416</v>
      </c>
      <c r="H31" s="79">
        <f t="shared" si="8"/>
        <v>5.2886972950414446E-3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25550.417530450773</v>
      </c>
      <c r="H32" s="79">
        <f t="shared" si="8"/>
        <v>5.2886972950414446E-3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25685.545954531248</v>
      </c>
      <c r="H33" s="79">
        <f t="shared" si="8"/>
        <v>5.2886972950414446E-3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25821.389031942639</v>
      </c>
      <c r="H34" s="79">
        <f t="shared" si="8"/>
        <v>5.2886972950414446E-3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25957.950542270086</v>
      </c>
      <c r="H35" s="79">
        <f t="shared" si="8"/>
        <v>5.2886972950414446E-3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26095.234285087809</v>
      </c>
      <c r="H36" s="79">
        <f t="shared" si="8"/>
        <v>5.2886972950414446E-3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10077.202925729485</v>
      </c>
      <c r="K37" s="71">
        <f t="shared" ref="K37:Q37" si="9">SUM(K4:K36)</f>
        <v>2.8881381954373815</v>
      </c>
      <c r="L37" s="74">
        <f t="shared" si="9"/>
        <v>21684.141571343866</v>
      </c>
      <c r="M37" s="75">
        <f t="shared" si="9"/>
        <v>12444.269044266375</v>
      </c>
      <c r="N37" s="88">
        <f t="shared" si="9"/>
        <v>5236.8117793713318</v>
      </c>
      <c r="O37" s="88">
        <f t="shared" si="9"/>
        <v>1.5008764072520528</v>
      </c>
      <c r="P37" s="76">
        <f t="shared" si="9"/>
        <v>2859.1695558151609</v>
      </c>
      <c r="Q37" s="75">
        <f t="shared" si="9"/>
        <v>1640.8431516034593</v>
      </c>
      <c r="T37" s="85">
        <f>SUM(T4:T36)</f>
        <v>2.620072760689665</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4" t="s">
        <v>118</v>
      </c>
      <c r="B1" s="124"/>
      <c r="C1" s="124"/>
      <c r="D1" s="124"/>
      <c r="E1" s="124"/>
      <c r="F1" s="124"/>
      <c r="G1" s="124"/>
      <c r="H1" s="124"/>
      <c r="I1" s="124"/>
      <c r="J1" s="124"/>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4" t="s">
        <v>118</v>
      </c>
      <c r="B1" s="124"/>
      <c r="C1" s="124"/>
      <c r="D1" s="124"/>
      <c r="E1" s="124"/>
      <c r="F1" s="124"/>
      <c r="G1" s="124"/>
      <c r="H1" s="124"/>
      <c r="I1" s="124"/>
      <c r="J1" s="124"/>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4" t="s">
        <v>118</v>
      </c>
      <c r="B20" s="124"/>
      <c r="C20" s="124"/>
      <c r="D20" s="124"/>
      <c r="E20" s="124"/>
      <c r="F20" s="124"/>
      <c r="G20" s="124"/>
      <c r="H20" s="124"/>
      <c r="I20" s="124"/>
      <c r="J20" s="124"/>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cp:lastModifiedBy>
  <cp:lastPrinted>2018-10-17T15:26:42Z</cp:lastPrinted>
  <dcterms:created xsi:type="dcterms:W3CDTF">2012-07-25T15:48:32Z</dcterms:created>
  <dcterms:modified xsi:type="dcterms:W3CDTF">2018-10-29T02:53:02Z</dcterms:modified>
</cp:coreProperties>
</file>