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E:\6301-00_Bellaire_TIP_Application_Support\04_ENGR\03_Documents\2. Traffic Management System\"/>
    </mc:Choice>
  </mc:AlternateContent>
  <bookViews>
    <workbookView xWindow="0" yWindow="0" windowWidth="21570" windowHeight="723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18_Volume_ADT">'Inputs &amp; Outputs'!$C$25</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Outputs'!$A$1:$G$47</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<sst xmlns="http://schemas.openxmlformats.org/spreadsheetml/2006/main" count="293" uniqueCount="237">
  <si>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</si>
  <si>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</si>
  <si>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</si>
  <si>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</si>
  <si>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</si>
  <si>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</si>
  <si>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</si>
  <si>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</si>
  <si>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</si>
  <si>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</si>
  <si>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</si>
  <si>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</si>
  <si>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</si>
  <si>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</si>
  <si>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</si>
  <si>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</si>
  <si>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</si>
  <si>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</si>
  <si>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</si>
  <si>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</si>
  <si>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</si>
  <si>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</si>
  <si>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</si>
  <si>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</si>
  <si>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</si>
  <si>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</si>
  <si>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</si>
  <si>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</si>
  <si>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</si>
  <si>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</si>
  <si>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</si>
  <si>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</si>
  <si>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</si>
  <si>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</si>
  <si>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</si>
  <si>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</si>
  <si>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</si>
  <si>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</si>
  <si>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</si>
  <si>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</si>
  <si>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</si>
  <si>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</si>
  <si>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</si>
  <si>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</si>
  <si>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</si>
  <si>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</si>
  <si>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</si>
  <si>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</si>
  <si>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</si>
  <si>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</si>
  <si>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</si>
  <si>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</si>
  <si>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</si>
  <si>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</si>
  <si>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</si>
  <si>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</si>
  <si>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</si>
  <si>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</si>
  <si>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</si>
  <si>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</si>
  <si>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</si>
  <si>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</si>
  <si>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</si>
  <si>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</si>
  <si>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</si>
  <si>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</si>
  <si>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</si>
  <si>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</si>
  <si>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</si>
  <si>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</si>
  <si>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</si>
  <si>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</si>
  <si>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</si>
  <si>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</si>
  <si>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</si>
  <si>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</si>
  <si>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</si>
  <si>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</si>
  <si>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</si>
  <si>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</si>
  <si>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</si>
  <si>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</si>
  <si>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</si>
  <si>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</si>
  <si>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</si>
  <si>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</si>
  <si>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</si>
  <si>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</si>
  <si>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</si>
  <si>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</si>
  <si>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</si>
  <si>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</si>
  <si>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</si>
  <si>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</si>
  <si>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</si>
  <si>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</si>
  <si>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</si>
  <si>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</si>
  <si>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</si>
  <si>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</si>
  <si>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</si>
  <si>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</si>
  <si>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</si>
  <si>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</si>
  <si>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</si>
  <si>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</si>
  <si>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</si>
  <si>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</si>
  <si>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</si>
  <si>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</si>
  <si>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</si>
  <si>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</si>
  <si>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</si>
  <si>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</si>
  <si>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</si>
  <si>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</si>
  <si>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</si>
  <si>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</si>
  <si>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</si>
  <si>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</si>
  <si>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</si>
  <si>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</si>
  <si>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</si>
  <si>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</si>
  <si>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</si>
  <si>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</si>
  <si>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</si>
  <si>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</si>
  <si>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</si>
  <si>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</si>
  <si>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</si>
  <si>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</si>
  <si>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</si>
  <si>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</si>
  <si>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</si>
  <si>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</si>
  <si>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</si>
  <si>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</si>
  <si>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</si>
  <si>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</si>
  <si>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</si>
  <si>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</si>
  <si>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</si>
  <si>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</si>
  <si>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</si>
  <si>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</si>
  <si>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</si>
  <si>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</si>
  <si>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</si>
  <si>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</si>
  <si>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</si>
  <si>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</si>
  <si>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</si>
  <si>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</si>
  <si>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</si>
  <si>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</si>
  <si>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</si>
  <si>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</si>
  <si>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</si>
  <si>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</si>
  <si>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</si>
  <si>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</si>
  <si>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</si>
  <si>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</si>
  <si>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</si>
  <si>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</si>
  <si>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</si>
  <si>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</si>
  <si>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</si>
  <si>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</si>
  <si>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</si>
  <si>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</si>
  <si>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</si>
  <si>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</si>
  <si>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</si>
  <si>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</si>
  <si>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</si>
  <si>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</si>
  <si>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</si>
  <si>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</si>
  <si>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</si>
  <si>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</si>
  <si>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</si>
  <si>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</si>
  <si>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</si>
  <si>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</si>
  <si>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</si>
  <si>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</si>
  <si>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</si>
  <si>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</si>
  <si>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</si>
  <si>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</si>
  <si>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</si>
  <si>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</si>
  <si>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</si>
  <si>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</si>
  <si>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</si>
  <si>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</si>
  <si>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</si>
  <si>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</si>
  <si>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</si>
  <si>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</si>
  <si>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</si>
  <si>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</si>
  <si>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</si>
  <si>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</si>
  <si>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</si>
  <si>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</si>
  <si>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</si>
  <si>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</si>
  <si>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</si>
  <si>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</si>
  <si>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</si>
  <si>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</si>
  <si>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</si>
  <si>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</si>
  <si>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</si>
  <si>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</si>
  <si>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</si>
  <si>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</si>
  <si>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</si>
  <si>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</si>
  <si>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</si>
  <si>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</si>
  <si>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</si>
  <si>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</si>
  <si>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</si>
  <si>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</si>
  <si>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</si>
  <si>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</si>
  <si>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</si>
  <si>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</si>
  <si>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</si>
  <si>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N/A</t>
  </si>
  <si>
    <t>Bellaire, Bissonnet, S Rice Ave, Newcastle</t>
  </si>
  <si>
    <t>City Limits</t>
  </si>
  <si>
    <t>Traffic Management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</si>
</sst>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sz val="10"/>
      <color rgb="FF000000"/>
      <name val="Arial"/>
      <family val="2"/>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cellStyleXfs>
  <cellXfs count="159">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3" fontId="0" fillId="17" borderId="1" xfId="0" applyNumberFormat="1" applyFill="1" applyBorder="1" applyProtection="1">
      <protection locked="0"/>
    </xf>
    <xf numFmtId="0" fontId="0" fillId="3" borderId="1" xfId="0" quotePrefix="1" applyFill="1" applyBorder="1" applyAlignment="1" applyProtection="1">
      <alignment horizontal="right" wrapText="1"/>
      <protection locked="0"/>
    </xf>
    <xf numFmtId="0" fontId="0" fillId="3" borderId="1" xfId="0" quotePrefix="1" applyFill="1" applyBorder="1" applyAlignment="1" applyProtection="1">
      <alignment horizontal="left"/>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5">
    <cellStyle name="Comma" xfId="1" builtinId="3"/>
    <cellStyle name="Currency" xfId="2" builtinId="4"/>
    <cellStyle name="Normal" xfId="0" builtinId="0"/>
    <cellStyle name="Normal 2" xfId="4"/>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1" t="s">
        <v>40</v>
      </c>
      <c r="E6" s="152"/>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1" t="s">
        <v>40</v>
      </c>
      <c r="E6" s="152"/>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1" t="s">
        <v>41</v>
      </c>
      <c r="E8" s="152"/>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31" zoomScaleNormal="100" workbookViewId="0">
      <selection activeCell="A52" sqref="A52"/>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49" t="s">
        <v>236</v>
      </c>
      <c r="D6" s="8"/>
      <c r="E6" s="103" t="s">
        <v>187</v>
      </c>
    </row>
    <row r="7" spans="1:7" x14ac:dyDescent="0.25">
      <c r="A7" s="8" t="s">
        <v>98</v>
      </c>
      <c r="B7" s="137" t="s">
        <v>200</v>
      </c>
      <c r="D7" s="104"/>
      <c r="E7" s="103" t="s">
        <v>196</v>
      </c>
    </row>
    <row r="8" spans="1:7" x14ac:dyDescent="0.25">
      <c r="A8" s="8" t="s">
        <v>99</v>
      </c>
      <c r="B8" s="137" t="s">
        <v>206</v>
      </c>
      <c r="D8" s="105"/>
      <c r="E8" s="103" t="s">
        <v>216</v>
      </c>
    </row>
    <row r="9" spans="1:7" x14ac:dyDescent="0.25">
      <c r="A9" s="8" t="s">
        <v>100</v>
      </c>
      <c r="B9" s="150" t="s">
        <v>234</v>
      </c>
      <c r="D9" s="106"/>
      <c r="E9" s="103" t="s">
        <v>188</v>
      </c>
    </row>
    <row r="10" spans="1:7" x14ac:dyDescent="0.25">
      <c r="A10" s="8" t="s">
        <v>101</v>
      </c>
      <c r="B10" s="137" t="s">
        <v>235</v>
      </c>
    </row>
    <row r="11" spans="1:7" x14ac:dyDescent="0.25">
      <c r="A11" s="8" t="s">
        <v>102</v>
      </c>
      <c r="B11" s="137" t="s">
        <v>235</v>
      </c>
    </row>
    <row r="12" spans="1:7" x14ac:dyDescent="0.25">
      <c r="A12" s="8" t="s">
        <v>103</v>
      </c>
      <c r="B12" s="137">
        <v>8.4</v>
      </c>
    </row>
    <row r="13" spans="1:7" x14ac:dyDescent="0.25">
      <c r="A13" s="8" t="s">
        <v>68</v>
      </c>
      <c r="B13" s="137" t="s">
        <v>233</v>
      </c>
      <c r="F13" s="120"/>
    </row>
    <row r="14" spans="1:7" x14ac:dyDescent="0.25">
      <c r="A14" s="8" t="s">
        <v>69</v>
      </c>
      <c r="B14" s="137" t="s">
        <v>233</v>
      </c>
    </row>
    <row r="17" spans="1:7" x14ac:dyDescent="0.25">
      <c r="A17" s="119" t="s">
        <v>120</v>
      </c>
      <c r="E17" s="153" t="s">
        <v>231</v>
      </c>
      <c r="F17" s="154"/>
    </row>
    <row r="18" spans="1:7" x14ac:dyDescent="0.25">
      <c r="A18" s="8" t="s">
        <v>79</v>
      </c>
      <c r="B18" s="138">
        <v>2021</v>
      </c>
      <c r="E18" s="105" t="s">
        <v>232</v>
      </c>
      <c r="F18" s="144">
        <f>$B$12/$B$32</f>
        <v>0.31111111111111112</v>
      </c>
    </row>
    <row r="19" spans="1:7" ht="45" x14ac:dyDescent="0.25">
      <c r="A19" s="8" t="s">
        <v>121</v>
      </c>
      <c r="B19" s="139" t="s">
        <v>157</v>
      </c>
      <c r="E19" s="107" t="s">
        <v>212</v>
      </c>
      <c r="F19" s="145">
        <f>$B$12/$B$33</f>
        <v>0.44210526315789478</v>
      </c>
    </row>
    <row r="20" spans="1:7" ht="30" x14ac:dyDescent="0.25">
      <c r="A20" s="135" t="s">
        <v>208</v>
      </c>
      <c r="B20" s="136">
        <f>VLOOKUP(B19,'Delay Reduction Factors'!B4:C80,2, FALSE)</f>
        <v>0.2</v>
      </c>
      <c r="E20" s="107" t="s">
        <v>209</v>
      </c>
      <c r="F20" s="144">
        <f>$F$19-$F$18</f>
        <v>0.13099415204678366</v>
      </c>
    </row>
    <row r="21" spans="1:7" x14ac:dyDescent="0.25">
      <c r="A21" s="8" t="s">
        <v>104</v>
      </c>
      <c r="B21" s="79">
        <v>10</v>
      </c>
      <c r="D21" s="121"/>
      <c r="E21" s="105" t="s">
        <v>210</v>
      </c>
      <c r="F21" s="144">
        <f>$F$20*$B$20</f>
        <v>2.6198830409356735E-2</v>
      </c>
      <c r="G21" s="122"/>
    </row>
    <row r="22" spans="1:7" s="113" customFormat="1" x14ac:dyDescent="0.25">
      <c r="D22" s="121"/>
      <c r="E22" s="105" t="s">
        <v>211</v>
      </c>
      <c r="F22" s="144">
        <f>$F$20-$F$21</f>
        <v>0.10479532163742693</v>
      </c>
      <c r="G22" s="122"/>
    </row>
    <row r="23" spans="1:7" x14ac:dyDescent="0.25">
      <c r="E23" s="105" t="s">
        <v>213</v>
      </c>
      <c r="F23" s="144">
        <f>$F$18+$F$22</f>
        <v>0.41590643274853806</v>
      </c>
    </row>
    <row r="24" spans="1:7" x14ac:dyDescent="0.25">
      <c r="A24" s="119" t="s">
        <v>94</v>
      </c>
      <c r="B24" s="123"/>
      <c r="D24" s="121"/>
      <c r="G24" s="124"/>
    </row>
    <row r="25" spans="1:7" x14ac:dyDescent="0.25">
      <c r="A25" s="8" t="s">
        <v>218</v>
      </c>
      <c r="B25" s="140">
        <v>19758</v>
      </c>
      <c r="D25" s="121"/>
      <c r="G25" s="124"/>
    </row>
    <row r="28" spans="1:7" x14ac:dyDescent="0.25">
      <c r="A28" s="105" t="s">
        <v>227</v>
      </c>
      <c r="B28" s="134">
        <f>IF(FacilityType='Delay Reduction Factors'!N5,'Inputs &amp; Outputs'!B25*45%, B25*43%)</f>
        <v>8495.94</v>
      </c>
      <c r="D28" s="121"/>
      <c r="E28" s="125" t="s">
        <v>95</v>
      </c>
      <c r="F28" s="126" t="s">
        <v>20</v>
      </c>
      <c r="G28" s="127" t="s">
        <v>19</v>
      </c>
    </row>
    <row r="29" spans="1:7" x14ac:dyDescent="0.25">
      <c r="A29" s="105" t="s">
        <v>228</v>
      </c>
      <c r="B29" s="115">
        <f>VLOOKUP(Year_Open_to_Traffic?,Calculations!H4:I36,2)</f>
        <v>9670.5110125151878</v>
      </c>
      <c r="D29" s="121"/>
      <c r="E29" s="107" t="s">
        <v>122</v>
      </c>
      <c r="F29" s="101">
        <f>$B$29*$F$23</f>
        <v>4022.0277380706448</v>
      </c>
      <c r="G29" s="102">
        <f>$B$29*$F$19</f>
        <v>4275.3838160593468</v>
      </c>
    </row>
    <row r="30" spans="1:7" x14ac:dyDescent="0.25">
      <c r="A30" s="124"/>
      <c r="B30" s="100"/>
      <c r="D30" s="121"/>
    </row>
    <row r="32" spans="1:7" x14ac:dyDescent="0.25">
      <c r="A32" s="128" t="s">
        <v>221</v>
      </c>
      <c r="B32" s="141">
        <v>27</v>
      </c>
      <c r="D32" s="121"/>
    </row>
    <row r="33" spans="1:7" ht="30" x14ac:dyDescent="0.25">
      <c r="A33" s="129" t="s">
        <v>222</v>
      </c>
      <c r="B33" s="142">
        <v>19</v>
      </c>
      <c r="D33" s="121"/>
      <c r="E33" s="121"/>
      <c r="F33" s="130"/>
      <c r="G33" s="117"/>
    </row>
    <row r="34" spans="1:7" x14ac:dyDescent="0.25">
      <c r="A34" s="131"/>
      <c r="B34" s="143"/>
      <c r="E34" s="117"/>
      <c r="F34" s="130"/>
      <c r="G34" s="130"/>
    </row>
    <row r="35" spans="1:7" x14ac:dyDescent="0.25">
      <c r="A35" s="105" t="s">
        <v>223</v>
      </c>
      <c r="B35" s="147">
        <f>$B$28</f>
        <v>8495.94</v>
      </c>
      <c r="E35" s="117"/>
    </row>
    <row r="36" spans="1:7" x14ac:dyDescent="0.25">
      <c r="A36" s="128" t="s">
        <v>224</v>
      </c>
      <c r="B36" s="148">
        <v>21743</v>
      </c>
      <c r="E36" s="117"/>
    </row>
    <row r="37" spans="1:7" x14ac:dyDescent="0.25">
      <c r="A37" s="128" t="s">
        <v>229</v>
      </c>
      <c r="B37" s="148">
        <v>11493</v>
      </c>
      <c r="E37" s="117"/>
    </row>
    <row r="38" spans="1:7" x14ac:dyDescent="0.25">
      <c r="A38" s="128" t="s">
        <v>225</v>
      </c>
      <c r="B38" s="148">
        <v>21743</v>
      </c>
      <c r="E38" s="117"/>
    </row>
    <row r="39" spans="1:7" x14ac:dyDescent="0.25">
      <c r="A39" s="128" t="s">
        <v>230</v>
      </c>
      <c r="B39" s="148">
        <v>13446</v>
      </c>
      <c r="E39" s="117"/>
    </row>
    <row r="40" spans="1:7" x14ac:dyDescent="0.25">
      <c r="A40" s="128" t="s">
        <v>226</v>
      </c>
      <c r="B40" s="148">
        <v>21743</v>
      </c>
      <c r="E40" s="117"/>
      <c r="G40" s="132"/>
    </row>
    <row r="41" spans="1:7" x14ac:dyDescent="0.25">
      <c r="C41" s="117"/>
      <c r="E41" s="117"/>
    </row>
    <row r="42" spans="1:7" ht="18.75" x14ac:dyDescent="0.3">
      <c r="A42" s="116" t="s">
        <v>78</v>
      </c>
      <c r="B42" s="112"/>
      <c r="C42" s="117"/>
      <c r="E42" s="117"/>
    </row>
    <row r="43" spans="1:7" x14ac:dyDescent="0.25">
      <c r="C43" s="118"/>
      <c r="D43" s="118"/>
      <c r="E43" s="117"/>
      <c r="F43" s="118"/>
      <c r="G43" s="118"/>
    </row>
    <row r="44" spans="1:7" hidden="1" x14ac:dyDescent="0.25">
      <c r="A44" s="133" t="s">
        <v>76</v>
      </c>
      <c r="E44" s="117"/>
    </row>
    <row r="45" spans="1:7" x14ac:dyDescent="0.25">
      <c r="A45" s="133" t="s">
        <v>76</v>
      </c>
    </row>
    <row r="46" spans="1:7" x14ac:dyDescent="0.25">
      <c r="A46" s="106" t="s">
        <v>88</v>
      </c>
      <c r="B46" s="114">
        <f>Calculations!$T$37</f>
        <v>13379.156873537788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65" orientation="landscape"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1045727.2118983676</v>
      </c>
      <c r="F4" s="22">
        <f>'Inputs &amp; Outputs'!G29*Annual_Days_of_Travel</f>
        <v>1111599.7921754301</v>
      </c>
      <c r="H4" s="59">
        <v>2018</v>
      </c>
      <c r="I4" s="60">
        <f>'Inputs &amp; Outputs'!B28</f>
        <v>8495.94</v>
      </c>
      <c r="J4" s="60">
        <f>IF(H4=Year_Open_to_Traffic?,$F$4,0)</f>
        <v>0</v>
      </c>
      <c r="K4" s="60">
        <f>IF(H4=Year_Open_to_Traffic?,Calculations!$E$4,0)</f>
        <v>0</v>
      </c>
      <c r="L4" s="60">
        <f>IF(AND(H4&gt;=Year_Open_to_Traffic?, Calculations!H4&lt;Year_Open_to_Traffic?+'Inputs &amp; Outputs'!B$21), 1, 0)</f>
        <v>0</v>
      </c>
      <c r="M4" s="81" t="s">
        <v>75</v>
      </c>
      <c r="N4" s="82">
        <f>MIN(E8,1)</f>
        <v>0.39074368762360301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4.4109376039421333E-2</v>
      </c>
      <c r="F5" s="28"/>
      <c r="H5" s="15">
        <f t="shared" ref="H5:H36" si="3">H4+1</f>
        <v>2019</v>
      </c>
      <c r="I5" s="97">
        <f>(I4*M5)+I4</f>
        <v>8870.6906122683613</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4.4109376039421333E-2</v>
      </c>
      <c r="N5" s="87">
        <f t="shared" ref="N5:N11" si="6">N4*(1+IFERROR(_2018_2025_V_C_Growth,_2018_2045_V_C_Growth))</f>
        <v>0.40797914787602269</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7.8780452585598404E-3</v>
      </c>
      <c r="F6" s="28"/>
      <c r="H6" s="59">
        <f t="shared" si="3"/>
        <v>2020</v>
      </c>
      <c r="I6" s="97">
        <f t="shared" ref="I6:I36" si="10">(I5*M6)+I5</f>
        <v>9261.9712402142704</v>
      </c>
      <c r="J6" s="60">
        <f t="shared" si="4"/>
        <v>0</v>
      </c>
      <c r="K6" s="60">
        <f>IF(H6=Year_Open_to_Traffic?,Calculations!$E$4,K5+(K5*M6))</f>
        <v>0</v>
      </c>
      <c r="L6" s="60">
        <f>IF(AND(H6&gt;=Year_Open_to_Traffic?, Calculations!H6&lt;Year_Open_to_Traffic?+'Inputs &amp; Outputs'!B$21), 1, 0)</f>
        <v>0</v>
      </c>
      <c r="M6" s="81">
        <f t="shared" si="5"/>
        <v>4.4109376039421333E-2</v>
      </c>
      <c r="N6" s="87">
        <f t="shared" si="6"/>
        <v>0.42597485352592884</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1.7148835691357611E-2</v>
      </c>
      <c r="F7" s="28"/>
      <c r="H7" s="15">
        <f t="shared" si="3"/>
        <v>2021</v>
      </c>
      <c r="I7" s="97">
        <f t="shared" si="10"/>
        <v>9670.5110125151878</v>
      </c>
      <c r="J7" s="60">
        <f t="shared" si="4"/>
        <v>1111599.7921754301</v>
      </c>
      <c r="K7" s="60">
        <f>IF(H7=Year_Open_to_Traffic?,Calculations!$E$4,K6+(K6*M7))</f>
        <v>1045727.2118983676</v>
      </c>
      <c r="L7" s="60">
        <f>IF(AND(H7&gt;=Year_Open_to_Traffic?, Calculations!H7&lt;Year_Open_to_Traffic?+'Inputs &amp; Outputs'!B$21), 1, 0)</f>
        <v>1</v>
      </c>
      <c r="M7" s="81">
        <f t="shared" si="5"/>
        <v>4.4109376039421333E-2</v>
      </c>
      <c r="N7" s="87">
        <f t="shared" si="6"/>
        <v>0.44476433852344144</v>
      </c>
      <c r="O7" s="88">
        <f t="shared" si="7"/>
        <v>1</v>
      </c>
      <c r="P7" s="84">
        <f t="shared" si="8"/>
        <v>65872.580277062487</v>
      </c>
      <c r="Q7" s="85">
        <f t="shared" si="0"/>
        <v>1</v>
      </c>
      <c r="R7" s="86">
        <f t="shared" si="1"/>
        <v>18.980213686084522</v>
      </c>
      <c r="S7" s="94">
        <f t="shared" si="2"/>
        <v>1737.8831531002395</v>
      </c>
      <c r="T7" s="80">
        <f t="shared" si="9"/>
        <v>1418.6303281601049</v>
      </c>
    </row>
    <row r="8" spans="1:24" x14ac:dyDescent="0.25">
      <c r="A8" s="18" t="s">
        <v>27</v>
      </c>
      <c r="B8" s="18">
        <v>260</v>
      </c>
      <c r="D8" s="18" t="s">
        <v>66</v>
      </c>
      <c r="E8" s="23">
        <f>_2018_PeakVolume/_2018_Capacity</f>
        <v>0.39074368762360301</v>
      </c>
      <c r="F8" s="28"/>
      <c r="H8" s="59">
        <f t="shared" si="3"/>
        <v>2022</v>
      </c>
      <c r="I8" s="97">
        <f t="shared" si="10"/>
        <v>10097.071219259586</v>
      </c>
      <c r="J8" s="60">
        <f t="shared" si="4"/>
        <v>1160631.7654138387</v>
      </c>
      <c r="K8" s="60">
        <f>IF(H8=Year_Open_to_Traffic?,Calculations!$E$4,K7+(K7*M8))</f>
        <v>1091853.5867226482</v>
      </c>
      <c r="L8" s="60">
        <f>IF(AND(H8&gt;=Year_Open_to_Traffic?, Calculations!H8&lt;Year_Open_to_Traffic?+'Inputs &amp; Outputs'!B$21), 1, 0)</f>
        <v>1</v>
      </c>
      <c r="M8" s="81">
        <f t="shared" si="5"/>
        <v>4.4109376039421333E-2</v>
      </c>
      <c r="N8" s="87">
        <f t="shared" si="6"/>
        <v>0.4643826159802964</v>
      </c>
      <c r="O8" s="88">
        <f t="shared" si="7"/>
        <v>1</v>
      </c>
      <c r="P8" s="84">
        <f>(J8-K8)*L8</f>
        <v>68778.178691190435</v>
      </c>
      <c r="Q8" s="85">
        <f>IF(AND(H8&gt;=Year_Open_to_Traffic?,H8&lt;Year_Open_to_Traffic?+Years_to_include_in_BCA_Analysis),1,0)</f>
        <v>1</v>
      </c>
      <c r="R8" s="86">
        <f t="shared" si="1"/>
        <v>19.416758600864465</v>
      </c>
      <c r="S8" s="94">
        <f t="shared" si="2"/>
        <v>1856.2745167890112</v>
      </c>
      <c r="T8" s="80">
        <f t="shared" si="9"/>
        <v>1416.1429411041702</v>
      </c>
      <c r="W8" s="73"/>
      <c r="X8" s="73"/>
    </row>
    <row r="9" spans="1:24" x14ac:dyDescent="0.25">
      <c r="A9" s="18" t="s">
        <v>64</v>
      </c>
      <c r="B9" s="18">
        <f>'Inputs &amp; Outputs'!B21</f>
        <v>10</v>
      </c>
      <c r="D9" s="18" t="s">
        <v>65</v>
      </c>
      <c r="E9" s="23">
        <f>_2025_PeakVolume/_2025_Capacity</f>
        <v>0.52858391206365263</v>
      </c>
      <c r="F9" s="28"/>
      <c r="H9" s="15">
        <f t="shared" si="3"/>
        <v>2023</v>
      </c>
      <c r="I9" s="97">
        <f t="shared" si="10"/>
        <v>10542.446730566726</v>
      </c>
      <c r="J9" s="60">
        <f t="shared" si="4"/>
        <v>1211826.5083977752</v>
      </c>
      <c r="K9" s="60">
        <f>IF(H9=Year_Open_to_Traffic?,Calculations!$E$4,K8+(K8*M9))</f>
        <v>1140014.5671593884</v>
      </c>
      <c r="L9" s="60">
        <f>IF(AND(H9&gt;=Year_Open_to_Traffic?, Calculations!H9&lt;Year_Open_to_Traffic?+'Inputs &amp; Outputs'!B$21), 1, 0)</f>
        <v>1</v>
      </c>
      <c r="M9" s="81">
        <f t="shared" si="5"/>
        <v>4.4109376039421333E-2</v>
      </c>
      <c r="N9" s="87">
        <f t="shared" si="6"/>
        <v>0.48486624341474149</v>
      </c>
      <c r="O9" s="88">
        <f t="shared" si="7"/>
        <v>1</v>
      </c>
      <c r="P9" s="84">
        <f t="shared" si="8"/>
        <v>71811.941238386789</v>
      </c>
      <c r="Q9" s="85">
        <f t="shared" si="0"/>
        <v>1</v>
      </c>
      <c r="R9" s="86">
        <f t="shared" si="1"/>
        <v>19.863344048684343</v>
      </c>
      <c r="S9" s="94">
        <f t="shared" si="2"/>
        <v>1982.7311609145522</v>
      </c>
      <c r="T9" s="80">
        <f t="shared" si="9"/>
        <v>1413.6599153636851</v>
      </c>
      <c r="W9" s="73"/>
    </row>
    <row r="10" spans="1:24" x14ac:dyDescent="0.25">
      <c r="D10" s="18" t="s">
        <v>82</v>
      </c>
      <c r="E10" s="23">
        <f>_2045_PeakVolume/_2045_Capacity</f>
        <v>0.61840592374557324</v>
      </c>
      <c r="F10" s="28"/>
      <c r="H10" s="59">
        <f t="shared" si="3"/>
        <v>2024</v>
      </c>
      <c r="I10" s="97">
        <f t="shared" si="10"/>
        <v>11007.467477780861</v>
      </c>
      <c r="J10" s="60">
        <f t="shared" si="4"/>
        <v>1265279.4195512317</v>
      </c>
      <c r="K10" s="60">
        <f>IF(H10=Year_Open_to_Traffic?,Calculations!$E$4,K9+(K9*M10))</f>
        <v>1190299.8983926401</v>
      </c>
      <c r="L10" s="60">
        <f>IF(AND(H10&gt;=Year_Open_to_Traffic?, Calculations!H10&lt;Year_Open_to_Traffic?+'Inputs &amp; Outputs'!B$21), 1, 0)</f>
        <v>1</v>
      </c>
      <c r="M10" s="81">
        <f t="shared" si="5"/>
        <v>4.4109376039421333E-2</v>
      </c>
      <c r="N10" s="87">
        <f t="shared" si="6"/>
        <v>0.50625339087434396</v>
      </c>
      <c r="O10" s="88">
        <f t="shared" si="7"/>
        <v>1</v>
      </c>
      <c r="P10" s="84">
        <f>(J10-K10)*L10</f>
        <v>74979.521158591611</v>
      </c>
      <c r="Q10" s="85">
        <f t="shared" si="0"/>
        <v>1</v>
      </c>
      <c r="R10" s="86">
        <f t="shared" si="1"/>
        <v>20.320200961804083</v>
      </c>
      <c r="S10" s="94">
        <f t="shared" si="2"/>
        <v>2117.802523767768</v>
      </c>
      <c r="T10" s="80">
        <f t="shared" si="9"/>
        <v>1411.1812432916372</v>
      </c>
      <c r="W10" s="73"/>
    </row>
    <row r="11" spans="1:24" ht="30" customHeight="1" x14ac:dyDescent="0.25">
      <c r="A11" s="155" t="s">
        <v>219</v>
      </c>
      <c r="B11" s="156"/>
      <c r="D11" s="18" t="s">
        <v>70</v>
      </c>
      <c r="E11" s="46">
        <f>(E9/E8)^(1/(2025-2018))-1</f>
        <v>4.4109376039421333E-2</v>
      </c>
      <c r="F11" s="28"/>
      <c r="H11" s="15">
        <f t="shared" si="3"/>
        <v>2025</v>
      </c>
      <c r="I11" s="97">
        <f t="shared" si="10"/>
        <v>11492.999999999998</v>
      </c>
      <c r="J11" s="60">
        <f t="shared" si="4"/>
        <v>1321090.1052631577</v>
      </c>
      <c r="K11" s="60">
        <f>IF(H11=Year_Open_to_Traffic?,Calculations!$E$4,K10+(K10*M11))</f>
        <v>1242803.2842105259</v>
      </c>
      <c r="L11" s="60">
        <f>IF(AND(H11&gt;=Year_Open_to_Traffic?, Calculations!H11&lt;Year_Open_to_Traffic?+'Inputs &amp; Outputs'!B$21), 1, 0)</f>
        <v>1</v>
      </c>
      <c r="M11" s="81">
        <f t="shared" si="5"/>
        <v>4.4109376039421333E-2</v>
      </c>
      <c r="N11" s="87">
        <f t="shared" si="6"/>
        <v>0.52858391206365252</v>
      </c>
      <c r="O11" s="88">
        <f t="shared" si="7"/>
        <v>1</v>
      </c>
      <c r="P11" s="84">
        <f t="shared" si="8"/>
        <v>78286.821052631829</v>
      </c>
      <c r="Q11" s="85">
        <f t="shared" si="0"/>
        <v>1</v>
      </c>
      <c r="R11" s="86">
        <f t="shared" si="1"/>
        <v>20.787565583925574</v>
      </c>
      <c r="S11" s="94">
        <f t="shared" si="2"/>
        <v>2262.075473514195</v>
      </c>
      <c r="T11" s="80">
        <f t="shared" si="9"/>
        <v>1408.7069172544291</v>
      </c>
      <c r="W11" s="73"/>
    </row>
    <row r="12" spans="1:24" x14ac:dyDescent="0.25">
      <c r="A12" s="18" t="s">
        <v>205</v>
      </c>
      <c r="B12" s="19">
        <v>0.45</v>
      </c>
      <c r="D12" s="18" t="s">
        <v>83</v>
      </c>
      <c r="E12" s="46">
        <f>(E10/E9)^(1/(2045-2025))-1</f>
        <v>7.8780452585598404E-3</v>
      </c>
      <c r="F12" s="28"/>
      <c r="H12" s="59">
        <v>2026</v>
      </c>
      <c r="I12" s="97">
        <f t="shared" si="10"/>
        <v>11583.542374156626</v>
      </c>
      <c r="J12" s="60">
        <f t="shared" si="4"/>
        <v>1331497.7129030565</v>
      </c>
      <c r="K12" s="60">
        <f>IF(H12=Year_Open_to_Traffic?,Calculations!$E$4,K11+(K11*M12))</f>
        <v>1252594.1447310233</v>
      </c>
      <c r="L12" s="60">
        <f>IF(AND(H12&gt;=Year_Open_to_Traffic?, Calculations!H12&lt;Year_Open_to_Traffic?+'Inputs &amp; Outputs'!B$21), 1, 0)</f>
        <v>1</v>
      </c>
      <c r="M12" s="81">
        <f t="shared" ref="M12:M36" si="11">IFERROR(_2025_2045_Demand_Growth,_2018_2045_Demand_Growth)</f>
        <v>7.8780452585598404E-3</v>
      </c>
      <c r="N12" s="87">
        <f t="shared" ref="N12:N36" si="12">N11*(1+IFERROR(_2025_2045_V_C_Growth,_2018_2045_V_C_Growth))</f>
        <v>0.5327481200458366</v>
      </c>
      <c r="O12" s="88">
        <f t="shared" si="7"/>
        <v>1</v>
      </c>
      <c r="P12" s="84">
        <f t="shared" si="8"/>
        <v>78903.568172033178</v>
      </c>
      <c r="Q12" s="85">
        <f t="shared" si="0"/>
        <v>1</v>
      </c>
      <c r="R12" s="86">
        <f t="shared" si="1"/>
        <v>21.265679592355859</v>
      </c>
      <c r="S12" s="94">
        <f t="shared" si="2"/>
        <v>2332.3338192216902</v>
      </c>
      <c r="T12" s="80">
        <f t="shared" si="9"/>
        <v>1357.4395176719722</v>
      </c>
      <c r="W12" s="73"/>
    </row>
    <row r="13" spans="1:24" x14ac:dyDescent="0.25">
      <c r="A13" s="18" t="s">
        <v>206</v>
      </c>
      <c r="B13" s="19">
        <v>0.43</v>
      </c>
      <c r="D13" s="18" t="s">
        <v>84</v>
      </c>
      <c r="E13" s="46">
        <f>(E10/E8)^(1/(2045-2018))-1</f>
        <v>1.7148835691357611E-2</v>
      </c>
      <c r="F13" s="28"/>
      <c r="H13" s="15">
        <f t="shared" si="3"/>
        <v>2027</v>
      </c>
      <c r="I13" s="97">
        <f t="shared" si="10"/>
        <v>11674.798045234678</v>
      </c>
      <c r="J13" s="60">
        <f t="shared" si="4"/>
        <v>1341987.3121469757</v>
      </c>
      <c r="K13" s="60">
        <f>IF(H13=Year_Open_to_Traffic?,Calculations!$E$4,K12+(K12*M13))</f>
        <v>1262462.1380938215</v>
      </c>
      <c r="L13" s="60">
        <f>IF(AND(H13&gt;=Year_Open_to_Traffic?, Calculations!H13&lt;Year_Open_to_Traffic?+'Inputs &amp; Outputs'!B$21), 1, 0)</f>
        <v>1</v>
      </c>
      <c r="M13" s="81">
        <f t="shared" si="11"/>
        <v>7.8780452585598404E-3</v>
      </c>
      <c r="N13" s="87">
        <f t="shared" si="12"/>
        <v>0.5369451338469704</v>
      </c>
      <c r="O13" s="88">
        <f t="shared" si="7"/>
        <v>1</v>
      </c>
      <c r="P13" s="84">
        <f t="shared" si="8"/>
        <v>79525.174053154187</v>
      </c>
      <c r="Q13" s="85">
        <f t="shared" si="0"/>
        <v>1</v>
      </c>
      <c r="R13" s="86">
        <f t="shared" si="1"/>
        <v>21.754790222980041</v>
      </c>
      <c r="S13" s="94">
        <f t="shared" si="2"/>
        <v>2404.7743357715594</v>
      </c>
      <c r="T13" s="80">
        <f t="shared" si="9"/>
        <v>1308.0379045265329</v>
      </c>
      <c r="W13" s="73"/>
    </row>
    <row r="14" spans="1:24" x14ac:dyDescent="0.25">
      <c r="H14" s="59">
        <f>H13+1</f>
        <v>2028</v>
      </c>
      <c r="I14" s="97">
        <f t="shared" si="10"/>
        <v>11766.772632619583</v>
      </c>
      <c r="J14" s="60">
        <f t="shared" si="4"/>
        <v>1352559.5489284827</v>
      </c>
      <c r="K14" s="60">
        <f>IF(H14=Year_Open_to_Traffic?,Calculations!$E$4,K13+(K13*M14))</f>
        <v>1272407.8719549428</v>
      </c>
      <c r="L14" s="60">
        <f>IF(AND(H14&gt;=Year_Open_to_Traffic?, Calculations!H14&lt;Year_Open_to_Traffic?+'Inputs &amp; Outputs'!B$21), 1, 0)</f>
        <v>1</v>
      </c>
      <c r="M14" s="81">
        <f t="shared" si="11"/>
        <v>7.8780452585598404E-3</v>
      </c>
      <c r="N14" s="87">
        <f t="shared" si="12"/>
        <v>0.54117521191278029</v>
      </c>
      <c r="O14" s="88">
        <f t="shared" si="7"/>
        <v>1</v>
      </c>
      <c r="P14" s="84">
        <f t="shared" si="8"/>
        <v>80151.67697353987</v>
      </c>
      <c r="Q14" s="85">
        <f t="shared" si="0"/>
        <v>1</v>
      </c>
      <c r="R14" s="86">
        <f t="shared" si="1"/>
        <v>22.255150398108579</v>
      </c>
      <c r="S14" s="94">
        <f t="shared" si="2"/>
        <v>2479.4647997323768</v>
      </c>
      <c r="T14" s="80">
        <f t="shared" si="9"/>
        <v>1260.4341758169037</v>
      </c>
      <c r="W14" s="73"/>
    </row>
    <row r="15" spans="1:24" x14ac:dyDescent="0.25">
      <c r="H15" s="15">
        <f t="shared" si="3"/>
        <v>2029</v>
      </c>
      <c r="I15" s="97">
        <f t="shared" si="10"/>
        <v>11859.471799966543</v>
      </c>
      <c r="J15" s="60">
        <f t="shared" si="4"/>
        <v>1363215.0742698386</v>
      </c>
      <c r="K15" s="60">
        <f>IF(H15=Year_Open_to_Traffic?,Calculations!$E$4,K14+(K14*M15))</f>
        <v>1282431.9587575516</v>
      </c>
      <c r="L15" s="60">
        <f>IF(AND(H15&gt;=Year_Open_to_Traffic?, Calculations!H15&lt;Year_Open_to_Traffic?+'Inputs &amp; Outputs'!B$21), 1, 0)</f>
        <v>1</v>
      </c>
      <c r="M15" s="81">
        <f t="shared" si="11"/>
        <v>7.8780452585598404E-3</v>
      </c>
      <c r="N15" s="87">
        <f t="shared" si="12"/>
        <v>0.54543861472503985</v>
      </c>
      <c r="O15" s="88">
        <f t="shared" si="7"/>
        <v>1</v>
      </c>
      <c r="P15" s="84">
        <f t="shared" si="8"/>
        <v>80783.115512287011</v>
      </c>
      <c r="Q15" s="85">
        <f t="shared" si="0"/>
        <v>1</v>
      </c>
      <c r="R15" s="86">
        <f t="shared" si="1"/>
        <v>22.767018857265079</v>
      </c>
      <c r="S15" s="94">
        <f t="shared" si="2"/>
        <v>2556.4750927614368</v>
      </c>
      <c r="T15" s="80">
        <f t="shared" si="9"/>
        <v>1214.5629007152461</v>
      </c>
      <c r="W15" s="73"/>
    </row>
    <row r="16" spans="1:24" x14ac:dyDescent="0.25">
      <c r="H16" s="59">
        <f t="shared" si="3"/>
        <v>2030</v>
      </c>
      <c r="I16" s="97">
        <f t="shared" si="10"/>
        <v>11952.901255549294</v>
      </c>
      <c r="J16" s="60">
        <f t="shared" si="4"/>
        <v>1373954.5443220874</v>
      </c>
      <c r="K16" s="60">
        <f>IF(H16=Year_Open_to_Traffic?,Calculations!$E$4,K15+(K15*M16))</f>
        <v>1292535.0157696672</v>
      </c>
      <c r="L16" s="60">
        <f>IF(AND(H16&gt;=Year_Open_to_Traffic?, Calculations!H16&lt;Year_Open_to_Traffic?+'Inputs &amp; Outputs'!B$21), 1, 0)</f>
        <v>1</v>
      </c>
      <c r="M16" s="81">
        <f t="shared" si="11"/>
        <v>7.8780452585598404E-3</v>
      </c>
      <c r="N16" s="87">
        <f t="shared" si="12"/>
        <v>0.54973560481760986</v>
      </c>
      <c r="O16" s="88">
        <f t="shared" si="7"/>
        <v>1</v>
      </c>
      <c r="P16" s="84">
        <f t="shared" si="8"/>
        <v>81419.528552420205</v>
      </c>
      <c r="Q16" s="85">
        <f t="shared" si="0"/>
        <v>1</v>
      </c>
      <c r="R16" s="86">
        <f t="shared" si="1"/>
        <v>23.290660290982171</v>
      </c>
      <c r="S16" s="94">
        <f t="shared" si="2"/>
        <v>2635.8772669872155</v>
      </c>
      <c r="T16" s="80">
        <f t="shared" si="9"/>
        <v>1170.3610296331083</v>
      </c>
      <c r="W16" s="73"/>
    </row>
    <row r="17" spans="1:23" x14ac:dyDescent="0.25">
      <c r="A17" s="29"/>
      <c r="H17" s="15">
        <f t="shared" si="3"/>
        <v>2031</v>
      </c>
      <c r="I17" s="97">
        <f t="shared" si="10"/>
        <v>12047.066752611609</v>
      </c>
      <c r="J17" s="60">
        <f t="shared" si="4"/>
        <v>1384778.6204054607</v>
      </c>
      <c r="K17" s="60">
        <f>IF(H17=Year_Open_to_Traffic?,Calculations!$E$4,K16+(K16*M17))</f>
        <v>1302717.665122174</v>
      </c>
      <c r="L17" s="60">
        <f>IF(AND(H17&gt;=Year_Open_to_Traffic?, Calculations!H17&lt;Year_Open_to_Traffic?+'Inputs &amp; Outputs'!B$21), 1, 0)</f>
        <v>0</v>
      </c>
      <c r="M17" s="81">
        <f t="shared" si="11"/>
        <v>7.8780452585598404E-3</v>
      </c>
      <c r="N17" s="87">
        <f t="shared" si="12"/>
        <v>0.55406644679260475</v>
      </c>
      <c r="O17" s="88">
        <f t="shared" si="7"/>
        <v>1</v>
      </c>
      <c r="P17" s="84">
        <f t="shared" si="8"/>
        <v>0</v>
      </c>
      <c r="Q17" s="85">
        <f t="shared" si="0"/>
        <v>0</v>
      </c>
      <c r="R17" s="86">
        <f t="shared" si="1"/>
        <v>23.82634547767476</v>
      </c>
      <c r="S17" s="94">
        <f t="shared" si="2"/>
        <v>0</v>
      </c>
      <c r="T17" s="80">
        <f t="shared" si="9"/>
        <v>0</v>
      </c>
      <c r="W17" s="73"/>
    </row>
    <row r="18" spans="1:23" x14ac:dyDescent="0.25">
      <c r="H18" s="59">
        <f t="shared" si="3"/>
        <v>2032</v>
      </c>
      <c r="I18" s="97">
        <f t="shared" si="10"/>
        <v>12141.974089721574</v>
      </c>
      <c r="J18" s="60">
        <f t="shared" si="4"/>
        <v>1395687.969050101</v>
      </c>
      <c r="K18" s="60">
        <f>IF(H18=Year_Open_to_Traffic?,Calculations!$E$4,K17+(K17*M18))</f>
        <v>1312980.5338471318</v>
      </c>
      <c r="L18" s="60">
        <f>IF(AND(H18&gt;=Year_Open_to_Traffic?, Calculations!H18&lt;Year_Open_to_Traffic?+'Inputs &amp; Outputs'!B$21), 1, 0)</f>
        <v>0</v>
      </c>
      <c r="M18" s="81">
        <f t="shared" si="11"/>
        <v>7.8780452585598404E-3</v>
      </c>
      <c r="N18" s="87">
        <f t="shared" si="12"/>
        <v>0.55843140733668628</v>
      </c>
      <c r="O18" s="88">
        <f t="shared" si="7"/>
        <v>1</v>
      </c>
      <c r="P18" s="84">
        <f t="shared" si="8"/>
        <v>0</v>
      </c>
      <c r="Q18" s="85">
        <f t="shared" si="0"/>
        <v>0</v>
      </c>
      <c r="R18" s="86">
        <f t="shared" si="1"/>
        <v>24.374351423661277</v>
      </c>
      <c r="S18" s="94">
        <f t="shared" si="2"/>
        <v>0</v>
      </c>
      <c r="T18" s="80">
        <f t="shared" si="9"/>
        <v>0</v>
      </c>
      <c r="W18" s="73"/>
    </row>
    <row r="19" spans="1:23" x14ac:dyDescent="0.25">
      <c r="H19" s="15">
        <f t="shared" si="3"/>
        <v>2033</v>
      </c>
      <c r="I19" s="97">
        <f t="shared" si="10"/>
        <v>12237.629111128661</v>
      </c>
      <c r="J19" s="60">
        <f t="shared" si="4"/>
        <v>1406683.2620371052</v>
      </c>
      <c r="K19" s="60">
        <f>IF(H19=Year_Open_to_Traffic?,Calculations!$E$4,K18+(K18*M19))</f>
        <v>1323324.2539163874</v>
      </c>
      <c r="L19" s="60">
        <f>IF(AND(H19&gt;=Year_Open_to_Traffic?, Calculations!H19&lt;Year_Open_to_Traffic?+'Inputs &amp; Outputs'!B$21), 1, 0)</f>
        <v>0</v>
      </c>
      <c r="M19" s="81">
        <f t="shared" si="11"/>
        <v>7.8780452585598404E-3</v>
      </c>
      <c r="N19" s="87">
        <f t="shared" si="12"/>
        <v>0.56283075523748594</v>
      </c>
      <c r="O19" s="88">
        <f t="shared" si="7"/>
        <v>1</v>
      </c>
      <c r="P19" s="84">
        <f t="shared" si="8"/>
        <v>0</v>
      </c>
      <c r="Q19" s="85">
        <f t="shared" si="0"/>
        <v>0</v>
      </c>
      <c r="R19" s="86">
        <f t="shared" si="1"/>
        <v>24.934961506405479</v>
      </c>
      <c r="S19" s="94">
        <f t="shared" si="2"/>
        <v>0</v>
      </c>
      <c r="T19" s="80">
        <f t="shared" si="9"/>
        <v>0</v>
      </c>
      <c r="W19" s="73"/>
    </row>
    <row r="20" spans="1:23" x14ac:dyDescent="0.25">
      <c r="H20" s="59">
        <f t="shared" si="3"/>
        <v>2034</v>
      </c>
      <c r="I20" s="97">
        <f t="shared" si="10"/>
        <v>12334.037707123602</v>
      </c>
      <c r="J20" s="60">
        <f t="shared" si="4"/>
        <v>1417765.176439892</v>
      </c>
      <c r="K20" s="60">
        <f>IF(H20=Year_Open_to_Traffic?,Calculations!$E$4,K19+(K19*M20))</f>
        <v>1333749.4622804907</v>
      </c>
      <c r="L20" s="60">
        <f>IF(AND(H20&gt;=Year_Open_to_Traffic?, Calculations!H20&lt;Year_Open_to_Traffic?+'Inputs &amp; Outputs'!B$21), 1, 0)</f>
        <v>0</v>
      </c>
      <c r="M20" s="81">
        <f t="shared" si="11"/>
        <v>7.8780452585598404E-3</v>
      </c>
      <c r="N20" s="87">
        <f t="shared" si="12"/>
        <v>0.56726476140015625</v>
      </c>
      <c r="O20" s="88">
        <f t="shared" si="7"/>
        <v>1</v>
      </c>
      <c r="P20" s="84">
        <f t="shared" si="8"/>
        <v>0</v>
      </c>
      <c r="Q20" s="85">
        <f t="shared" si="0"/>
        <v>0</v>
      </c>
      <c r="R20" s="86">
        <f t="shared" si="1"/>
        <v>25.508465621052807</v>
      </c>
      <c r="S20" s="94">
        <f t="shared" si="2"/>
        <v>0</v>
      </c>
      <c r="T20" s="80">
        <f t="shared" si="9"/>
        <v>0</v>
      </c>
      <c r="W20" s="73"/>
    </row>
    <row r="21" spans="1:23" x14ac:dyDescent="0.25">
      <c r="H21" s="15">
        <f t="shared" si="3"/>
        <v>2035</v>
      </c>
      <c r="I21" s="97">
        <f t="shared" si="10"/>
        <v>12431.205814401104</v>
      </c>
      <c r="J21" s="60">
        <f t="shared" si="4"/>
        <v>1428934.3946658955</v>
      </c>
      <c r="K21" s="60">
        <f>IF(H21=Year_Open_to_Traffic?,Calculations!$E$4,K20+(K20*M21))</f>
        <v>1344256.8009079162</v>
      </c>
      <c r="L21" s="60">
        <f>IF(AND(H21&gt;=Year_Open_to_Traffic?, Calculations!H21&lt;Year_Open_to_Traffic?+'Inputs &amp; Outputs'!B$21), 1, 0)</f>
        <v>0</v>
      </c>
      <c r="M21" s="81">
        <f t="shared" si="11"/>
        <v>7.8780452585598404E-3</v>
      </c>
      <c r="N21" s="87">
        <f t="shared" si="12"/>
        <v>0.57173369886405279</v>
      </c>
      <c r="O21" s="88">
        <f t="shared" si="7"/>
        <v>1</v>
      </c>
      <c r="P21" s="84">
        <f t="shared" si="8"/>
        <v>0</v>
      </c>
      <c r="Q21" s="85">
        <f t="shared" si="0"/>
        <v>0</v>
      </c>
      <c r="R21" s="86">
        <f t="shared" si="1"/>
        <v>26.095160330337016</v>
      </c>
      <c r="S21" s="94">
        <f t="shared" si="2"/>
        <v>0</v>
      </c>
      <c r="T21" s="80">
        <f t="shared" si="9"/>
        <v>0</v>
      </c>
      <c r="W21" s="73"/>
    </row>
    <row r="22" spans="1:23" x14ac:dyDescent="0.25">
      <c r="H22" s="59">
        <f>H21+1</f>
        <v>2036</v>
      </c>
      <c r="I22" s="97">
        <f t="shared" si="10"/>
        <v>12529.139416425429</v>
      </c>
      <c r="J22" s="60">
        <f t="shared" si="4"/>
        <v>1440191.6044985862</v>
      </c>
      <c r="K22" s="60">
        <f>IF(H22=Year_Open_to_Traffic?,Calculations!$E$4,K21+(K21*M22))</f>
        <v>1354846.9168245955</v>
      </c>
      <c r="L22" s="60">
        <f>IF(AND(H22&gt;=Year_Open_to_Traffic?, Calculations!H22&lt;Year_Open_to_Traffic?+'Inputs &amp; Outputs'!B$21), 1, 0)</f>
        <v>0</v>
      </c>
      <c r="M22" s="81">
        <f t="shared" si="11"/>
        <v>7.8780452585598404E-3</v>
      </c>
      <c r="N22" s="87">
        <f t="shared" si="12"/>
        <v>0.5762378428195476</v>
      </c>
      <c r="O22" s="88">
        <f t="shared" si="7"/>
        <v>1</v>
      </c>
      <c r="P22" s="84">
        <f t="shared" si="8"/>
        <v>0</v>
      </c>
      <c r="Q22" s="85">
        <f t="shared" si="0"/>
        <v>0</v>
      </c>
      <c r="R22" s="86">
        <f t="shared" si="1"/>
        <v>26.695349017934767</v>
      </c>
      <c r="S22" s="94">
        <f t="shared" si="2"/>
        <v>0</v>
      </c>
      <c r="T22" s="80">
        <f t="shared" si="9"/>
        <v>0</v>
      </c>
      <c r="W22" s="73"/>
    </row>
    <row r="23" spans="1:23" x14ac:dyDescent="0.25">
      <c r="H23" s="15">
        <f t="shared" si="3"/>
        <v>2037</v>
      </c>
      <c r="I23" s="97">
        <f t="shared" si="10"/>
        <v>12627.844543798834</v>
      </c>
      <c r="J23" s="60">
        <f t="shared" si="4"/>
        <v>1451537.499139824</v>
      </c>
      <c r="K23" s="60">
        <f>IF(H23=Year_Open_to_Traffic?,Calculations!$E$4,K22+(K22*M23))</f>
        <v>1365520.46215376</v>
      </c>
      <c r="L23" s="60">
        <f>IF(AND(H23&gt;=Year_Open_to_Traffic?, Calculations!H23&lt;Year_Open_to_Traffic?+'Inputs &amp; Outputs'!B$21), 1, 0)</f>
        <v>0</v>
      </c>
      <c r="M23" s="81">
        <f t="shared" si="11"/>
        <v>7.8780452585598404E-3</v>
      </c>
      <c r="N23" s="87">
        <f t="shared" si="12"/>
        <v>0.58077747062497487</v>
      </c>
      <c r="O23" s="88">
        <f t="shared" si="7"/>
        <v>1</v>
      </c>
      <c r="P23" s="84">
        <f t="shared" si="8"/>
        <v>0</v>
      </c>
      <c r="Q23" s="85">
        <f t="shared" si="0"/>
        <v>0</v>
      </c>
      <c r="R23" s="86">
        <f t="shared" si="1"/>
        <v>27.309342045347261</v>
      </c>
      <c r="S23" s="94">
        <f t="shared" si="2"/>
        <v>0</v>
      </c>
      <c r="T23" s="80">
        <f t="shared" si="9"/>
        <v>0</v>
      </c>
      <c r="W23" s="73"/>
    </row>
    <row r="24" spans="1:23" x14ac:dyDescent="0.25">
      <c r="H24" s="59">
        <f t="shared" si="3"/>
        <v>2038</v>
      </c>
      <c r="I24" s="97">
        <f t="shared" si="10"/>
        <v>12727.327274632938</v>
      </c>
      <c r="J24" s="60">
        <f t="shared" si="4"/>
        <v>1462972.7772525442</v>
      </c>
      <c r="K24" s="60">
        <f>IF(H24=Year_Open_to_Traffic?,Calculations!$E$4,K23+(K23*M24))</f>
        <v>1376278.0941560969</v>
      </c>
      <c r="L24" s="60">
        <f>IF(AND(H24&gt;=Year_Open_to_Traffic?, Calculations!H24&lt;Year_Open_to_Traffic?+'Inputs &amp; Outputs'!B$21), 1, 0)</f>
        <v>0</v>
      </c>
      <c r="M24" s="81">
        <f t="shared" si="11"/>
        <v>7.8780452585598404E-3</v>
      </c>
      <c r="N24" s="87">
        <f t="shared" si="12"/>
        <v>0.58535286182371038</v>
      </c>
      <c r="O24" s="88">
        <f t="shared" si="7"/>
        <v>1</v>
      </c>
      <c r="P24" s="84">
        <f>(J24-K24)*L24</f>
        <v>0</v>
      </c>
      <c r="Q24" s="85">
        <f t="shared" si="0"/>
        <v>0</v>
      </c>
      <c r="R24" s="86">
        <f t="shared" si="1"/>
        <v>27.93745691239025</v>
      </c>
      <c r="S24" s="94">
        <f t="shared" si="2"/>
        <v>0</v>
      </c>
      <c r="T24" s="80">
        <f t="shared" si="9"/>
        <v>0</v>
      </c>
      <c r="W24" s="73"/>
    </row>
    <row r="25" spans="1:23" x14ac:dyDescent="0.25">
      <c r="H25" s="15">
        <f t="shared" si="3"/>
        <v>2039</v>
      </c>
      <c r="I25" s="97">
        <f t="shared" si="10"/>
        <v>12827.593734923001</v>
      </c>
      <c r="J25" s="60">
        <f t="shared" si="4"/>
        <v>1474498.1430037806</v>
      </c>
      <c r="K25" s="60">
        <f>IF(H25=Year_Open_to_Traffic?,Calculations!$E$4,K24+(K24*M25))</f>
        <v>1387120.4752702231</v>
      </c>
      <c r="L25" s="60">
        <f>IF(AND(H25&gt;=Year_Open_to_Traffic?, Calculations!H25&lt;Year_Open_to_Traffic?+'Inputs &amp; Outputs'!B$21), 1, 0)</f>
        <v>0</v>
      </c>
      <c r="M25" s="81">
        <f t="shared" si="11"/>
        <v>7.8780452585598404E-3</v>
      </c>
      <c r="N25" s="87">
        <f t="shared" si="12"/>
        <v>0.58996429816138507</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12928.650098925144</v>
      </c>
      <c r="J26" s="60">
        <f t="shared" si="4"/>
        <v>1486114.3061080268</v>
      </c>
      <c r="K26" s="60">
        <f>IF(H26=Year_Open_to_Traffic?,Calculations!$E$4,K25+(K25*M26))</f>
        <v>1398048.2731534769</v>
      </c>
      <c r="L26" s="60">
        <f>IF(AND(H26&gt;=Year_Open_to_Traffic?, Calculations!H26&lt;Year_Open_to_Traffic?+'Inputs &amp; Outputs'!B$21), 1, 0)</f>
        <v>0</v>
      </c>
      <c r="M26" s="81">
        <f t="shared" si="11"/>
        <v>7.8780452585598404E-3</v>
      </c>
      <c r="N26" s="87">
        <f t="shared" si="12"/>
        <v>0.59461206360323493</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13030.50258953656</v>
      </c>
      <c r="J27" s="60">
        <f t="shared" si="4"/>
        <v>1497821.981870939</v>
      </c>
      <c r="K27" s="60">
        <f>IF(H27=Year_Open_to_Traffic?,Calculations!$E$4,K26+(K26*M27))</f>
        <v>1409062.1607230315</v>
      </c>
      <c r="L27" s="60">
        <f>IF(AND(H27&gt;=Year_Open_to_Traffic?, Calculations!H27&lt;Year_Open_to_Traffic?+'Inputs &amp; Outputs'!B$21), 1, 0)</f>
        <v>0</v>
      </c>
      <c r="M27" s="81">
        <f t="shared" si="11"/>
        <v>7.8780452585598404E-3</v>
      </c>
      <c r="N27" s="87">
        <f t="shared" si="12"/>
        <v>0.59929644435158691</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13133.15747867871</v>
      </c>
      <c r="J28" s="60">
        <f t="shared" si="4"/>
        <v>1509621.8912333841</v>
      </c>
      <c r="K28" s="60">
        <f>IF(H28=Year_Open_to_Traffic?,Calculations!$E$4,K27+(K27*M28))</f>
        <v>1420162.8161973318</v>
      </c>
      <c r="L28" s="60">
        <f>IF(AND(H28&gt;=Year_Open_to_Traffic?, Calculations!H28&lt;Year_Open_to_Traffic?+'Inputs &amp; Outputs'!B$21), 1, 0)</f>
        <v>0</v>
      </c>
      <c r="M28" s="81">
        <f t="shared" si="11"/>
        <v>7.8780452585598404E-3</v>
      </c>
      <c r="N28" s="87">
        <f t="shared" si="12"/>
        <v>0.60401772886348271</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13236.621087683534</v>
      </c>
      <c r="J29" s="60">
        <f t="shared" si="4"/>
        <v>1521514.7608158335</v>
      </c>
      <c r="K29" s="60">
        <f>IF(H29=Year_Open_to_Traffic?,Calculations!$E$4,K28+(K28*M29))</f>
        <v>1431350.923137858</v>
      </c>
      <c r="L29" s="60">
        <f>IF(AND(H29&gt;=Year_Open_to_Traffic?, Calculations!H29&lt;Year_Open_to_Traffic?+'Inputs &amp; Outputs'!B$21), 1, 0)</f>
        <v>0</v>
      </c>
      <c r="M29" s="81">
        <f t="shared" si="11"/>
        <v>7.8780452585598404E-3</v>
      </c>
      <c r="N29" s="87">
        <f t="shared" si="12"/>
        <v>0.60877620786844178</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13340.899787682712</v>
      </c>
      <c r="J30" s="60">
        <f t="shared" si="4"/>
        <v>1533501.3229631074</v>
      </c>
      <c r="K30" s="60">
        <f>IF(H30=Year_Open_to_Traffic?,Calculations!$E$4,K29+(K29*M30))</f>
        <v>1442627.1704912195</v>
      </c>
      <c r="L30" s="60">
        <f>IF(AND(H30&gt;=Year_Open_to_Traffic?, Calculations!H30&lt;Year_Open_to_Traffic?+'Inputs &amp; Outputs'!B$21), 1, 0)</f>
        <v>0</v>
      </c>
      <c r="M30" s="81">
        <f t="shared" si="11"/>
        <v>7.8780452585598404E-3</v>
      </c>
      <c r="N30" s="87">
        <f t="shared" si="12"/>
        <v>0.6135721743863638</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13445.999999999989</v>
      </c>
      <c r="J31" s="60">
        <f t="shared" si="4"/>
        <v>1545582.3157894721</v>
      </c>
      <c r="K31" s="60">
        <f>IF(H31=Year_Open_to_Traffic?,Calculations!$E$4,K30+(K30*M31))</f>
        <v>1453992.2526315774</v>
      </c>
      <c r="L31" s="60">
        <f>IF(AND(H31&gt;=Year_Open_to_Traffic?, Calculations!H31&lt;Year_Open_to_Traffic?+'Inputs &amp; Outputs'!B$21), 1, 0)</f>
        <v>0</v>
      </c>
      <c r="M31" s="81">
        <f t="shared" si="11"/>
        <v>7.8780452585598404E-3</v>
      </c>
      <c r="N31" s="87">
        <f t="shared" si="12"/>
        <v>0.61840592374557257</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13551.928196546585</v>
      </c>
      <c r="J32" s="60">
        <f t="shared" si="4"/>
        <v>1557758.4832240914</v>
      </c>
      <c r="K32" s="60">
        <f>IF(H32=Year_Open_to_Traffic?,Calculations!$E$4,K31+(K31*M32))</f>
        <v>1465446.8694034044</v>
      </c>
      <c r="L32" s="60">
        <f>IF(AND(H32&gt;=Year_Open_to_Traffic?, Calculations!H32&lt;Year_Open_to_Traffic?+'Inputs &amp; Outputs'!B$21), 1, 0)</f>
        <v>0</v>
      </c>
      <c r="M32" s="81">
        <f t="shared" si="11"/>
        <v>7.8780452585598404E-3</v>
      </c>
      <c r="N32" s="87">
        <f t="shared" si="12"/>
        <v>0.62327775360100168</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13658.690900219732</v>
      </c>
      <c r="J33" s="60">
        <f t="shared" si="4"/>
        <v>1570030.5750568362</v>
      </c>
      <c r="K33" s="60">
        <f>IF(H33=Year_Open_to_Traffic?,Calculations!$E$4,K32+(K32*M33))</f>
        <v>1476991.7261645792</v>
      </c>
      <c r="L33" s="60">
        <f>IF(AND(H33&gt;=Year_Open_to_Traffic?, Calculations!H33&lt;Year_Open_to_Traffic?+'Inputs &amp; Outputs'!B$21), 1, 0)</f>
        <v>0</v>
      </c>
      <c r="M33" s="81">
        <f t="shared" si="11"/>
        <v>7.8780452585598404E-3</v>
      </c>
      <c r="N33" s="87">
        <f t="shared" si="12"/>
        <v>0.62818796395252385</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13766.294685304341</v>
      </c>
      <c r="J34" s="60">
        <f t="shared" si="4"/>
        <v>1582399.3469844568</v>
      </c>
      <c r="K34" s="60">
        <f>IF(H34=Year_Open_to_Traffic?,Calculations!$E$4,K33+(K33*M34))</f>
        <v>1488627.5338298222</v>
      </c>
      <c r="L34" s="60">
        <f>IF(AND(H34&gt;=Year_Open_to_Traffic?, Calculations!H34&lt;Year_Open_to_Traffic?+'Inputs &amp; Outputs'!B$21), 1, 0)</f>
        <v>0</v>
      </c>
      <c r="M34" s="81">
        <f t="shared" si="11"/>
        <v>7.8780452585598404E-3</v>
      </c>
      <c r="N34" s="87">
        <f t="shared" si="12"/>
        <v>0.63313685716342438</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13874.746177877842</v>
      </c>
      <c r="J35" s="60">
        <f t="shared" si="4"/>
        <v>1594865.5606571159</v>
      </c>
      <c r="K35" s="60">
        <f>IF(H35=Year_Open_to_Traffic?,Calculations!$E$4,K34+(K34*M35))</f>
        <v>1500355.0089144718</v>
      </c>
      <c r="L35" s="60">
        <f>IF(AND(H35&gt;=Year_Open_to_Traffic?, Calculations!H35&lt;Year_Open_to_Traffic?+'Inputs &amp; Outputs'!B$21), 1, 0)</f>
        <v>0</v>
      </c>
      <c r="M35" s="81">
        <f t="shared" si="11"/>
        <v>7.8780452585598404E-3</v>
      </c>
      <c r="N35" s="87">
        <f t="shared" si="12"/>
        <v>0.63812473797902014</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13984.052056218194</v>
      </c>
      <c r="J36" s="60">
        <f t="shared" si="4"/>
        <v>1607429.983725291</v>
      </c>
      <c r="K36" s="60">
        <f>IF(H36=Year_Open_to_Traffic?,Calculations!$E$4,K35+(K35*M36))</f>
        <v>1512174.8735786071</v>
      </c>
      <c r="L36" s="60">
        <f>IF(AND(H36&gt;=Year_Open_to_Traffic?, Calculations!H36&lt;Year_Open_to_Traffic?+'Inputs &amp; Outputs'!B$21), 1, 0)</f>
        <v>0</v>
      </c>
      <c r="M36" s="81">
        <f t="shared" si="11"/>
        <v>7.8780452585598404E-3</v>
      </c>
      <c r="N36" s="87">
        <f t="shared" si="12"/>
        <v>0.64315191354542545</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13379.156873537788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7" t="s">
        <v>189</v>
      </c>
      <c r="C2" s="157"/>
      <c r="D2" s="157"/>
      <c r="E2" s="157"/>
      <c r="F2" s="157"/>
      <c r="G2" s="157"/>
      <c r="H2" s="157"/>
      <c r="I2" s="157"/>
    </row>
    <row r="3" spans="2:14" x14ac:dyDescent="0.25">
      <c r="B3" s="158" t="s">
        <v>220</v>
      </c>
      <c r="C3" s="158"/>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33</vt:i4>
      </vt:variant>
    </vt:vector>
  </HeadingPairs>
  <TitlesOfParts>
    <vt:vector size="41"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_2018_Volume_ADT</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Lauren</cp:lastModifiedBy>
  <cp:lastPrinted>2018-10-29T02:47:24Z</cp:lastPrinted>
  <dcterms:created xsi:type="dcterms:W3CDTF">2012-07-25T15:48:32Z</dcterms:created>
  <dcterms:modified xsi:type="dcterms:W3CDTF">2018-10-29T02:47:40Z</dcterms:modified>
</cp:coreProperties>
</file>