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9_HW_SL336/"/>
    </mc:Choice>
  </mc:AlternateContent>
  <xr:revisionPtr revIDLastSave="2" documentId="10_ncr:100000_{7747EBEC-A2EC-439D-B71D-AC61D407076B}" xr6:coauthVersionLast="40" xr6:coauthVersionMax="40" xr10:uidLastSave="{DE5FF4F4-7B44-4C90-9813-F37BD199FBD9}"/>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J27" i="5"/>
  <c r="K27" i="5"/>
  <c r="G28" i="5"/>
  <c r="H27" i="5"/>
  <c r="I27" i="5"/>
  <c r="G19" i="7"/>
  <c r="H18" i="7"/>
  <c r="I18" i="7"/>
  <c r="J18" i="7"/>
  <c r="Q20" i="12"/>
  <c r="R20" i="12"/>
  <c r="H21" i="12"/>
  <c r="L21" i="12"/>
  <c r="N21" i="12"/>
  <c r="O21" i="12"/>
  <c r="G29" i="5"/>
  <c r="H28" i="5"/>
  <c r="I28" i="5"/>
  <c r="J28" i="5"/>
  <c r="K28" i="5"/>
  <c r="H19" i="7"/>
  <c r="I19" i="7"/>
  <c r="J19" i="7"/>
  <c r="G20" i="7"/>
  <c r="Q21" i="12"/>
  <c r="R21" i="12"/>
  <c r="H22" i="12"/>
  <c r="L22" i="12"/>
  <c r="N22" i="12"/>
  <c r="O22" i="12"/>
  <c r="K4" i="12"/>
  <c r="K5" i="12"/>
  <c r="K6" i="12"/>
  <c r="K7" i="12"/>
  <c r="K8" i="12"/>
  <c r="K9" i="12"/>
  <c r="J4" i="12"/>
  <c r="G21" i="7"/>
  <c r="H20" i="7"/>
  <c r="I20" i="7"/>
  <c r="J20" i="7"/>
  <c r="J29" i="5"/>
  <c r="K29" i="5"/>
  <c r="H29" i="5"/>
  <c r="Q22" i="12"/>
  <c r="R22" i="12"/>
  <c r="H23" i="12"/>
  <c r="L23" i="12"/>
  <c r="N23" i="12"/>
  <c r="O23" i="12"/>
  <c r="I29" i="5"/>
  <c r="B13" i="5"/>
  <c r="H21" i="7"/>
  <c r="I21" i="7"/>
  <c r="J21" i="7"/>
  <c r="G22" i="7"/>
  <c r="Q23" i="12"/>
  <c r="R23" i="12"/>
  <c r="H24" i="12"/>
  <c r="L24" i="12"/>
  <c r="N24" i="12"/>
  <c r="O24" i="12"/>
  <c r="H22" i="7"/>
  <c r="I22" i="7"/>
  <c r="J22" i="7"/>
  <c r="G23" i="7"/>
  <c r="Q24" i="12"/>
  <c r="R24" i="12"/>
  <c r="H25" i="12"/>
  <c r="L25" i="12"/>
  <c r="N25" i="12"/>
  <c r="O25" i="12"/>
  <c r="G24" i="7"/>
  <c r="H23" i="7"/>
  <c r="I23" i="7"/>
  <c r="J23" i="7"/>
  <c r="Q25" i="12"/>
  <c r="R25" i="12"/>
  <c r="H26" i="12"/>
  <c r="L26" i="12"/>
  <c r="N26" i="12"/>
  <c r="O26" i="12"/>
  <c r="H24" i="7"/>
  <c r="I24" i="7"/>
  <c r="J24" i="7"/>
  <c r="G25" i="7"/>
  <c r="Q26" i="12"/>
  <c r="R26" i="12"/>
  <c r="H27" i="12"/>
  <c r="L27" i="12"/>
  <c r="N27" i="12"/>
  <c r="O27" i="12"/>
  <c r="G26" i="7"/>
  <c r="H25" i="7"/>
  <c r="I25" i="7"/>
  <c r="J25" i="7"/>
  <c r="Q27" i="12"/>
  <c r="R27" i="12"/>
  <c r="H28" i="12"/>
  <c r="L28" i="12"/>
  <c r="N28" i="12"/>
  <c r="O28" i="12"/>
  <c r="G27" i="7"/>
  <c r="H26" i="7"/>
  <c r="I26" i="7"/>
  <c r="J26" i="7"/>
  <c r="Q28" i="12"/>
  <c r="R28" i="12"/>
  <c r="H29" i="12"/>
  <c r="L29" i="12"/>
  <c r="N29" i="12"/>
  <c r="O29" i="12"/>
  <c r="H27" i="7"/>
  <c r="I27" i="7"/>
  <c r="J27" i="7"/>
  <c r="G28" i="7"/>
  <c r="R29" i="12"/>
  <c r="H30" i="12"/>
  <c r="L30" i="12"/>
  <c r="Q29" i="12"/>
  <c r="N30" i="12"/>
  <c r="O30" i="12"/>
  <c r="H28" i="7"/>
  <c r="I28" i="7"/>
  <c r="J28" i="7"/>
  <c r="G29" i="7"/>
  <c r="Q30" i="12"/>
  <c r="H31" i="12"/>
  <c r="L31" i="12"/>
  <c r="R30" i="12"/>
  <c r="N31" i="12"/>
  <c r="O31" i="12"/>
  <c r="H32" i="12"/>
  <c r="L32" i="12"/>
  <c r="H29" i="7"/>
  <c r="I29" i="7"/>
  <c r="J29" i="7"/>
  <c r="B11" i="7"/>
  <c r="B12" i="7"/>
  <c r="Q31" i="12"/>
  <c r="R31" i="12"/>
  <c r="N32" i="12"/>
  <c r="O32" i="12"/>
  <c r="R32" i="12"/>
  <c r="Q32" i="12"/>
  <c r="H33" i="12"/>
  <c r="L33" i="12"/>
  <c r="N33" i="12"/>
  <c r="O33" i="12"/>
  <c r="H34" i="12"/>
  <c r="L34" i="12"/>
  <c r="R33" i="12"/>
  <c r="Q33" i="12"/>
  <c r="N34" i="12"/>
  <c r="O34" i="12"/>
  <c r="H35" i="12"/>
  <c r="L35" i="12"/>
  <c r="R34" i="12"/>
  <c r="Q34" i="12"/>
  <c r="N35" i="12"/>
  <c r="O35" i="12"/>
  <c r="R35" i="12"/>
  <c r="Q35" i="12"/>
  <c r="H36" i="12"/>
  <c r="L36" i="12"/>
  <c r="N36" i="12"/>
  <c r="O36" i="12"/>
  <c r="R36" i="12"/>
  <c r="Q36" i="12"/>
  <c r="P4" i="12"/>
  <c r="S4" i="12"/>
  <c r="T4" i="12"/>
  <c r="F21" i="11"/>
  <c r="F22" i="11"/>
  <c r="F23" i="11"/>
  <c r="F29" i="11"/>
  <c r="E4"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G29" i="11"/>
  <c r="F4" i="12"/>
  <c r="J10" i="12"/>
  <c r="J11" i="12"/>
  <c r="J12" i="12"/>
  <c r="J5" i="12"/>
  <c r="P11" i="12"/>
  <c r="S11" i="12"/>
  <c r="T11" i="12"/>
  <c r="P10" i="12"/>
  <c r="S10" i="12"/>
  <c r="T10" i="12"/>
  <c r="P5" i="12"/>
  <c r="S5" i="12"/>
  <c r="T5" i="12"/>
  <c r="J6" i="12"/>
  <c r="P12" i="12"/>
  <c r="S12" i="12"/>
  <c r="T12" i="12"/>
  <c r="J13" i="12"/>
  <c r="P13" i="12"/>
  <c r="S13" i="12"/>
  <c r="T13" i="12"/>
  <c r="J14" i="12"/>
  <c r="J7" i="12"/>
  <c r="P6" i="12"/>
  <c r="S6" i="12"/>
  <c r="T6" i="12"/>
  <c r="J8" i="12"/>
  <c r="P7" i="12"/>
  <c r="S7" i="12"/>
  <c r="T7" i="12"/>
  <c r="J15" i="12"/>
  <c r="P14" i="12"/>
  <c r="S14" i="12"/>
  <c r="T14" i="12"/>
  <c r="P15" i="12"/>
  <c r="S15" i="12"/>
  <c r="T15" i="12"/>
  <c r="J16" i="12"/>
  <c r="P8" i="12"/>
  <c r="S8" i="12"/>
  <c r="T8" i="12"/>
  <c r="J9" i="12"/>
  <c r="P9" i="12"/>
  <c r="S9" i="12"/>
  <c r="T9" i="12"/>
  <c r="P16" i="12"/>
  <c r="S16" i="12"/>
  <c r="T16" i="12"/>
  <c r="J17" i="12"/>
  <c r="P17" i="12"/>
  <c r="S17" i="12"/>
  <c r="T17" i="12"/>
  <c r="J18" i="12"/>
  <c r="J19" i="12"/>
  <c r="P18" i="12"/>
  <c r="S18" i="12"/>
  <c r="T18" i="12"/>
  <c r="J20" i="12"/>
  <c r="P19" i="12"/>
  <c r="S19" i="12"/>
  <c r="T19" i="12"/>
  <c r="J21" i="12"/>
  <c r="P20" i="12"/>
  <c r="S20" i="12"/>
  <c r="T20" i="12"/>
  <c r="J22" i="12"/>
  <c r="P21" i="12"/>
  <c r="S21" i="12"/>
  <c r="T21" i="12"/>
  <c r="P22" i="12"/>
  <c r="S22" i="12"/>
  <c r="T22" i="12"/>
  <c r="J23" i="12"/>
  <c r="P23" i="12"/>
  <c r="S23" i="12"/>
  <c r="T23" i="12"/>
  <c r="J24" i="12"/>
  <c r="J25" i="12"/>
  <c r="P24" i="12"/>
  <c r="S24" i="12"/>
  <c r="T24" i="12"/>
  <c r="P25" i="12"/>
  <c r="S25" i="12"/>
  <c r="T25" i="12"/>
  <c r="J26" i="12"/>
  <c r="P26" i="12"/>
  <c r="S26" i="12"/>
  <c r="T26" i="12"/>
  <c r="J27" i="12"/>
  <c r="P27" i="12"/>
  <c r="S27" i="12"/>
  <c r="T27" i="12"/>
  <c r="J28" i="12"/>
  <c r="J29" i="12"/>
  <c r="P28" i="12"/>
  <c r="S28" i="12"/>
  <c r="T28" i="12"/>
  <c r="J30" i="12"/>
  <c r="P29" i="12"/>
  <c r="S29" i="12"/>
  <c r="T29" i="12"/>
  <c r="J31" i="12"/>
  <c r="P30" i="12"/>
  <c r="S30" i="12"/>
  <c r="T30" i="12"/>
  <c r="P31" i="12"/>
  <c r="S31" i="12"/>
  <c r="T31" i="12"/>
  <c r="J32" i="12"/>
  <c r="J33" i="12"/>
  <c r="P32" i="12"/>
  <c r="S32" i="12"/>
  <c r="T32" i="12"/>
  <c r="P33" i="12"/>
  <c r="S33" i="12"/>
  <c r="T33" i="12"/>
  <c r="J34" i="12"/>
  <c r="J35" i="12"/>
  <c r="P34" i="12"/>
  <c r="S34" i="12"/>
  <c r="T34"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<sst xmlns="http://schemas.openxmlformats.org/spreadsheetml/2006/main" count="292" uniqueCount="238">
  <si>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</si>
  <si>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</si>
  <si>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</si>
  <si>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</si>
  <si>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</si>
  <si>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</si>
  <si>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</si>
  <si>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</si>
  <si>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</si>
  <si>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</si>
  <si>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</si>
  <si>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</si>
  <si>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</si>
  <si>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</si>
  <si>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</si>
  <si>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</si>
  <si>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</si>
  <si>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</si>
  <si>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</si>
  <si>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</si>
  <si>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</si>
  <si>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</si>
  <si>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</si>
  <si>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</si>
  <si>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</si>
  <si>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</si>
  <si>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</si>
  <si>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</si>
  <si>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</si>
  <si>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</si>
  <si>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</si>
  <si>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</si>
  <si>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</si>
  <si>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</si>
  <si>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</si>
  <si>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</si>
  <si>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</si>
  <si>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</si>
  <si>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</si>
  <si>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</si>
  <si>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</si>
  <si>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</si>
  <si>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</si>
  <si>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</si>
  <si>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</si>
  <si>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</si>
  <si>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</si>
  <si>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</si>
  <si>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</si>
  <si>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South SL 336 Widening</t>
  </si>
  <si>
    <t>Data entered by the sponsors</t>
  </si>
  <si>
    <t>County</t>
  </si>
  <si>
    <t>Montgomery</t>
  </si>
  <si>
    <t>HGAC regional travel demand model data provided by HGAC</t>
  </si>
  <si>
    <t>Facility Type</t>
  </si>
  <si>
    <t>Non Freeway</t>
  </si>
  <si>
    <t>Data populated/calculated based on inputs</t>
  </si>
  <si>
    <t>Street Name:</t>
  </si>
  <si>
    <t>SL 336</t>
  </si>
  <si>
    <t>Benefits calculated by the template</t>
  </si>
  <si>
    <t>Limits (From)</t>
  </si>
  <si>
    <t>FM 1314</t>
  </si>
  <si>
    <t>Limits (To)</t>
  </si>
  <si>
    <t>IH 45</t>
  </si>
  <si>
    <t>Length (in Miles)</t>
  </si>
  <si>
    <t>Application ID Number:</t>
  </si>
  <si>
    <t>Sponsor ID Number (CSJ, etc.):</t>
  </si>
  <si>
    <t>0338-11-056</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</si>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</sst>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0" zoomScale="115" zoomScaleNormal="115" workbookViewId="0" xr3:uid="{51F8DEE0-4D01-5F28-A812-FC0BD7CAC4A5}">
      <selection activeCell="E42" sqref="E42"/>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30">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2.11</v>
      </c>
    </row>
    <row r="13" spans="1:7">
      <c r="A13" s="7" t="s">
        <v>65</v>
      </c>
      <c r="B13" s="116"/>
      <c r="F13" s="99"/>
    </row>
    <row r="14" spans="1:7">
      <c r="A14" s="7" t="s">
        <v>66</v>
      </c>
      <c r="B14" s="116" t="s">
        <v>67</v>
      </c>
    </row>
    <row r="17" spans="1:7">
      <c r="A17" s="98" t="s">
        <v>68</v>
      </c>
      <c r="E17" s="130" t="s">
        <v>69</v>
      </c>
      <c r="F17" s="131"/>
    </row>
    <row r="18" spans="1:7">
      <c r="A18" s="7" t="s">
        <v>70</v>
      </c>
      <c r="B18" s="117">
        <v>2024</v>
      </c>
      <c r="E18" s="87" t="s">
        <v>71</v>
      </c>
      <c r="F18" s="122">
        <f>$B$12/$B$32</f>
        <v>4.2199999999999994E-2</v>
      </c>
    </row>
    <row r="19" spans="1:7" ht="30">
      <c r="A19" s="7" t="s">
        <v>72</v>
      </c>
      <c r="B19" s="118" t="s">
        <v>73</v>
      </c>
      <c r="E19" s="89" t="s">
        <v>74</v>
      </c>
      <c r="F19" s="123">
        <f>$B$12/$B$33</f>
        <v>8.4399999999999989E-2</v>
      </c>
    </row>
    <row r="20" spans="1:7" ht="30">
      <c r="A20" s="113" t="s">
        <v>75</v>
      </c>
      <c r="B20" s="114">
        <f>VLOOKUP(B19,'Delay Reduction Factors'!B4:C80,2, FALSE)</f>
        <v>0.4</v>
      </c>
      <c r="E20" s="89" t="s">
        <v>76</v>
      </c>
      <c r="F20" s="122">
        <f>$F$19-$F$18</f>
        <v>4.2199999999999994E-2</v>
      </c>
    </row>
    <row r="21" spans="1:7">
      <c r="A21" s="7" t="s">
        <v>77</v>
      </c>
      <c r="B21" s="63">
        <v>20</v>
      </c>
      <c r="D21" s="100"/>
      <c r="E21" s="87" t="s">
        <v>78</v>
      </c>
      <c r="F21" s="122">
        <f>$F$20*$B$20</f>
        <v>1.6879999999999999E-2</v>
      </c>
      <c r="G21" s="101"/>
    </row>
    <row r="22" spans="1:7">
      <c r="D22" s="100"/>
      <c r="E22" s="87" t="s">
        <v>79</v>
      </c>
      <c r="F22" s="122">
        <f>$F$20-$F$21</f>
        <v>2.5319999999999995E-2</v>
      </c>
      <c r="G22" s="101"/>
    </row>
    <row r="23" spans="1:7">
      <c r="E23" s="87" t="s">
        <v>80</v>
      </c>
      <c r="F23" s="122">
        <f>$F$18+$F$22</f>
        <v>6.7519999999999997E-2</v>
      </c>
    </row>
    <row r="24" spans="1:7">
      <c r="A24" s="98" t="s">
        <v>81</v>
      </c>
      <c r="B24" s="102"/>
      <c r="D24" s="100"/>
    </row>
    <row r="25" spans="1:7">
      <c r="A25" s="7" t="s">
        <v>82</v>
      </c>
      <c r="B25" s="126">
        <v>17111</v>
      </c>
      <c r="D25" s="100"/>
    </row>
    <row r="28" spans="1:7">
      <c r="A28" s="87" t="s">
        <v>83</v>
      </c>
      <c r="B28" s="112">
        <f>IF(FacilityType='Delay Reduction Factors'!N5,'Inputs &amp; Outputs'!B25*45%, B25*43%)</f>
        <v>7357.73</v>
      </c>
      <c r="D28" s="100"/>
      <c r="E28" s="103" t="s">
        <v>84</v>
      </c>
      <c r="F28" s="104" t="s">
        <v>2</v>
      </c>
      <c r="G28" s="105" t="s">
        <v>85</v>
      </c>
    </row>
    <row r="29" spans="1:7">
      <c r="A29" s="87" t="s">
        <v>86</v>
      </c>
      <c r="B29" s="95">
        <f>VLOOKUP(Year_Open_to_Traffic?,Calculations!H4:I36,2)</f>
        <v>11196.470282933771</v>
      </c>
      <c r="D29" s="100"/>
      <c r="E29" s="89" t="s">
        <v>87</v>
      </c>
      <c r="F29" s="83">
        <f>$B$29*$F$23</f>
        <v>755.98567350368819</v>
      </c>
      <c r="G29" s="84">
        <f>$B$29*$F$19</f>
        <v>944.98209187961015</v>
      </c>
    </row>
    <row r="30" spans="1:7">
      <c r="B30" s="82"/>
      <c r="D30" s="100"/>
    </row>
    <row r="32" spans="1:7">
      <c r="A32" s="106" t="s">
        <v>88</v>
      </c>
      <c r="B32" s="119">
        <v>50</v>
      </c>
      <c r="D32" s="100"/>
    </row>
    <row r="33" spans="1:7" ht="30">
      <c r="A33" s="107" t="s">
        <v>89</v>
      </c>
      <c r="B33" s="120">
        <v>25</v>
      </c>
      <c r="D33" s="100"/>
      <c r="E33" s="100"/>
      <c r="F33" s="108"/>
    </row>
    <row r="34" spans="1:7">
      <c r="A34" s="109"/>
      <c r="B34" s="121"/>
      <c r="F34" s="108"/>
      <c r="G34" s="108"/>
    </row>
    <row r="35" spans="1:7">
      <c r="A35" s="87" t="s">
        <v>90</v>
      </c>
      <c r="B35" s="125">
        <f>$B$28</f>
        <v>7357.73</v>
      </c>
    </row>
    <row r="36" spans="1:7">
      <c r="A36" s="106" t="s">
        <v>91</v>
      </c>
      <c r="B36" s="119">
        <v>11244</v>
      </c>
    </row>
    <row r="37" spans="1:7">
      <c r="A37" s="106" t="s">
        <v>92</v>
      </c>
      <c r="B37" s="119">
        <v>12008</v>
      </c>
    </row>
    <row r="38" spans="1:7">
      <c r="A38" s="106" t="s">
        <v>93</v>
      </c>
      <c r="B38" s="119">
        <v>23633</v>
      </c>
    </row>
    <row r="39" spans="1:7">
      <c r="A39" s="106" t="s">
        <v>94</v>
      </c>
      <c r="B39" s="119">
        <v>18935</v>
      </c>
    </row>
    <row r="40" spans="1:7">
      <c r="A40" s="106" t="s">
        <v>95</v>
      </c>
      <c r="B40" s="119">
        <v>23633</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15795.388091228311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196556.27511095893</v>
      </c>
      <c r="F4" s="21">
        <f>'Inputs &amp; Outputs'!G29*Annual_Days_of_Travel</f>
        <v>245695.34388869864</v>
      </c>
      <c r="H4" s="49">
        <v>2018</v>
      </c>
      <c r="I4" s="50">
        <f>'Inputs &amp; Outputs'!B28</f>
        <v>7357.73</v>
      </c>
      <c r="J4" s="50">
        <f>IF(H4=Year_Open_to_Traffic?,$F$4,0)</f>
        <v>0</v>
      </c>
      <c r="K4" s="50">
        <f>IF(H4=Year_Open_to_Traffic?,Calculations!$E$4,0)</f>
        <v>0</v>
      </c>
      <c r="L4" s="50">
        <f>IF(AND(H4&gt;=Year_Open_to_Traffic?, Calculations!H4&lt;Year_Open_to_Traffic?+'Inputs &amp; Outputs'!B$21), 1, 0)</f>
        <v>0</v>
      </c>
      <c r="M4" s="65" t="s">
        <v>111</v>
      </c>
      <c r="N4" s="66">
        <f>MIN(E8,1)</f>
        <v>0.65436944147990039</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7.2480853033048742E-2</v>
      </c>
      <c r="F5" s="26"/>
      <c r="H5" s="14">
        <f t="shared" ref="H5:H36" si="3">H4+1</f>
        <v>2019</v>
      </c>
      <c r="I5" s="79">
        <f>(I4*M5)+I4</f>
        <v>7891.0245467868535</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7.2480853033048742E-2</v>
      </c>
      <c r="N5" s="71">
        <f t="shared" ref="N5:N11" si="6">N4*(1+IFERROR(_2018_2025_V_C_Growth,_2018_2045_V_C_Growth))</f>
        <v>0.6311420647525896</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2.3033208532412752E-2</v>
      </c>
      <c r="F6" s="26"/>
      <c r="H6" s="49">
        <f t="shared" si="3"/>
        <v>2020</v>
      </c>
      <c r="I6" s="79">
        <f t="shared" ref="I6:I36" si="10">(I5*M6)+I5</f>
        <v>8462.9727372426914</v>
      </c>
      <c r="J6" s="50">
        <f t="shared" si="4"/>
        <v>0</v>
      </c>
      <c r="K6" s="50">
        <f>IF(H6=Year_Open_to_Traffic?,Calculations!$E$4,K5+(K5*M6))</f>
        <v>0</v>
      </c>
      <c r="L6" s="50">
        <f>IF(AND(H6&gt;=Year_Open_to_Traffic?, Calculations!H6&lt;Year_Open_to_Traffic?+'Inputs &amp; Outputs'!B$21), 1, 0)</f>
        <v>0</v>
      </c>
      <c r="M6" s="65">
        <f t="shared" si="5"/>
        <v>7.2480853033048742E-2</v>
      </c>
      <c r="N6" s="71">
        <f t="shared" si="6"/>
        <v>0.60873916269575279</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3.5629704499642312E-2</v>
      </c>
      <c r="F7" s="26"/>
      <c r="H7" s="14">
        <f t="shared" si="3"/>
        <v>2021</v>
      </c>
      <c r="I7" s="79">
        <f t="shared" si="10"/>
        <v>9076.376220433478</v>
      </c>
      <c r="J7" s="50">
        <f t="shared" si="4"/>
        <v>0</v>
      </c>
      <c r="K7" s="50">
        <f>IF(H7=Year_Open_to_Traffic?,Calculations!$E$4,K6+(K6*M7))</f>
        <v>0</v>
      </c>
      <c r="L7" s="50">
        <f>IF(AND(H7&gt;=Year_Open_to_Traffic?, Calculations!H7&lt;Year_Open_to_Traffic?+'Inputs &amp; Outputs'!B$21), 1, 0)</f>
        <v>0</v>
      </c>
      <c r="M7" s="65">
        <f t="shared" si="5"/>
        <v>7.2480853033048742E-2</v>
      </c>
      <c r="N7" s="71">
        <f t="shared" si="6"/>
        <v>0.58713146990890019</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0.65436944147990039</v>
      </c>
      <c r="F8" s="26"/>
      <c r="H8" s="49">
        <f t="shared" si="3"/>
        <v>2022</v>
      </c>
      <c r="I8" s="79">
        <f t="shared" si="10"/>
        <v>9734.2397113393745</v>
      </c>
      <c r="J8" s="50">
        <f t="shared" si="4"/>
        <v>0</v>
      </c>
      <c r="K8" s="50">
        <f>IF(H8=Year_Open_to_Traffic?,Calculations!$E$4,K7+(K7*M8))</f>
        <v>0</v>
      </c>
      <c r="L8" s="50">
        <f>IF(AND(H8&gt;=Year_Open_to_Traffic?, Calculations!H8&lt;Year_Open_to_Traffic?+'Inputs &amp; Outputs'!B$21), 1, 0)</f>
        <v>0</v>
      </c>
      <c r="M8" s="65">
        <f t="shared" si="5"/>
        <v>7.2480853033048742E-2</v>
      </c>
      <c r="N8" s="71">
        <f t="shared" si="6"/>
        <v>0.56629075979078769</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0.50810307620699868</v>
      </c>
      <c r="F9" s="26"/>
      <c r="H9" s="14">
        <f t="shared" si="3"/>
        <v>2023</v>
      </c>
      <c r="I9" s="79">
        <f t="shared" si="10"/>
        <v>10439.785709245431</v>
      </c>
      <c r="J9" s="50">
        <f t="shared" si="4"/>
        <v>0</v>
      </c>
      <c r="K9" s="50">
        <f>IF(H9=Year_Open_to_Traffic?,Calculations!$E$4,K8+(K8*M9))</f>
        <v>0</v>
      </c>
      <c r="L9" s="50">
        <f>IF(AND(H9&gt;=Year_Open_to_Traffic?, Calculations!H9&lt;Year_Open_to_Traffic?+'Inputs &amp; Outputs'!B$21), 1, 0)</f>
        <v>0</v>
      </c>
      <c r="M9" s="65">
        <f t="shared" si="5"/>
        <v>7.2480853033048742E-2</v>
      </c>
      <c r="N9" s="71">
        <f t="shared" si="6"/>
        <v>0.54618980766639091</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0.80121017221681545</v>
      </c>
      <c r="F10" s="26"/>
      <c r="H10" s="49">
        <f t="shared" si="3"/>
        <v>2024</v>
      </c>
      <c r="I10" s="79">
        <f t="shared" si="10"/>
        <v>11196.470282933771</v>
      </c>
      <c r="J10" s="50">
        <f t="shared" si="4"/>
        <v>245695.34388869864</v>
      </c>
      <c r="K10" s="50">
        <f>IF(H10=Year_Open_to_Traffic?,Calculations!$E$4,K9+(K9*M10))</f>
        <v>196556.27511095893</v>
      </c>
      <c r="L10" s="50">
        <f>IF(AND(H10&gt;=Year_Open_to_Traffic?, Calculations!H10&lt;Year_Open_to_Traffic?+'Inputs &amp; Outputs'!B$21), 1, 0)</f>
        <v>1</v>
      </c>
      <c r="M10" s="65">
        <f t="shared" si="5"/>
        <v>7.2480853033048742E-2</v>
      </c>
      <c r="N10" s="71">
        <f t="shared" si="6"/>
        <v>0.52680235522271746</v>
      </c>
      <c r="O10" s="72">
        <f t="shared" si="7"/>
        <v>1</v>
      </c>
      <c r="P10" s="68">
        <f>(J10-K10)*L10</f>
        <v>49139.068777739711</v>
      </c>
      <c r="Q10" s="69">
        <f t="shared" si="0"/>
        <v>1</v>
      </c>
      <c r="R10" s="70">
        <f t="shared" si="1"/>
        <v>20.320200961804083</v>
      </c>
      <c r="S10" s="77">
        <f t="shared" si="2"/>
        <v>1387.9368961690211</v>
      </c>
      <c r="T10" s="64">
        <f t="shared" si="9"/>
        <v>924.84095791025356</v>
      </c>
      <c r="W10" s="58"/>
    </row>
    <row r="11" spans="1:24" ht="30" customHeight="1">
      <c r="A11" s="132" t="s">
        <v>121</v>
      </c>
      <c r="B11" s="133"/>
      <c r="D11" s="17" t="s">
        <v>122</v>
      </c>
      <c r="E11" s="39">
        <f>(E9/E8)^(1/(2025-2018))-1</f>
        <v>-3.5495815138892439E-2</v>
      </c>
      <c r="F11" s="26"/>
      <c r="H11" s="14">
        <f t="shared" si="3"/>
        <v>2025</v>
      </c>
      <c r="I11" s="79">
        <f t="shared" si="10"/>
        <v>12007.999999999991</v>
      </c>
      <c r="J11" s="50">
        <f t="shared" si="4"/>
        <v>263503.55199999979</v>
      </c>
      <c r="K11" s="50">
        <f>IF(H11=Year_Open_to_Traffic?,Calculations!$E$4,K10+(K10*M11))</f>
        <v>210802.84159999984</v>
      </c>
      <c r="L11" s="50">
        <f>IF(AND(H11&gt;=Year_Open_to_Traffic?, Calculations!H11&lt;Year_Open_to_Traffic?+'Inputs &amp; Outputs'!B$21), 1, 0)</f>
        <v>1</v>
      </c>
      <c r="M11" s="65">
        <f t="shared" si="5"/>
        <v>7.2480853033048742E-2</v>
      </c>
      <c r="N11" s="71">
        <f t="shared" si="6"/>
        <v>0.50810307620699868</v>
      </c>
      <c r="O11" s="72">
        <f t="shared" si="7"/>
        <v>1</v>
      </c>
      <c r="P11" s="68">
        <f t="shared" si="8"/>
        <v>52700.710399999953</v>
      </c>
      <c r="Q11" s="69">
        <f t="shared" si="0"/>
        <v>1</v>
      </c>
      <c r="R11" s="70">
        <f t="shared" si="1"/>
        <v>20.787565583925574</v>
      </c>
      <c r="S11" s="77">
        <f t="shared" si="2"/>
        <v>1522.77206852566</v>
      </c>
      <c r="T11" s="64">
        <f t="shared" si="9"/>
        <v>948.30591262341966</v>
      </c>
      <c r="W11" s="58"/>
    </row>
    <row r="12" spans="1:24">
      <c r="A12" s="17" t="s">
        <v>123</v>
      </c>
      <c r="B12" s="18">
        <v>0.45</v>
      </c>
      <c r="D12" s="17" t="s">
        <v>124</v>
      </c>
      <c r="E12" s="39">
        <f>(E10/E9)^(1/(2045-2025))-1</f>
        <v>2.3033208532412752E-2</v>
      </c>
      <c r="F12" s="26"/>
      <c r="H12" s="49">
        <v>2026</v>
      </c>
      <c r="I12" s="79">
        <f t="shared" si="10"/>
        <v>12284.582768057204</v>
      </c>
      <c r="J12" s="50">
        <f t="shared" si="4"/>
        <v>269572.88426224724</v>
      </c>
      <c r="K12" s="50">
        <f>IF(H12=Year_Open_to_Traffic?,Calculations!$E$4,K11+(K11*M12))</f>
        <v>215658.3074097978</v>
      </c>
      <c r="L12" s="50">
        <f>IF(AND(H12&gt;=Year_Open_to_Traffic?, Calculations!H12&lt;Year_Open_to_Traffic?+'Inputs &amp; Outputs'!B$21), 1, 0)</f>
        <v>1</v>
      </c>
      <c r="M12" s="65">
        <f t="shared" ref="M12:M36" si="11">IFERROR(_2025_2045_Demand_Growth,_2018_2045_Demand_Growth)</f>
        <v>2.3033208532412752E-2</v>
      </c>
      <c r="N12" s="71">
        <f t="shared" ref="N12:N36" si="12">N11*(1+IFERROR(_2025_2045_V_C_Growth,_2018_2045_V_C_Growth))</f>
        <v>0.51980632031723484</v>
      </c>
      <c r="O12" s="72">
        <f t="shared" si="7"/>
        <v>1</v>
      </c>
      <c r="P12" s="68">
        <f t="shared" si="8"/>
        <v>53914.576852449449</v>
      </c>
      <c r="Q12" s="69">
        <f t="shared" si="0"/>
        <v>1</v>
      </c>
      <c r="R12" s="70">
        <f t="shared" si="1"/>
        <v>21.265679592355859</v>
      </c>
      <c r="S12" s="77">
        <f t="shared" si="2"/>
        <v>1593.6768622152736</v>
      </c>
      <c r="T12" s="64">
        <f t="shared" si="9"/>
        <v>927.5344435439315</v>
      </c>
      <c r="W12" s="58"/>
    </row>
    <row r="13" spans="1:24">
      <c r="A13" s="17" t="s">
        <v>55</v>
      </c>
      <c r="B13" s="18">
        <v>0.43</v>
      </c>
      <c r="D13" s="17" t="s">
        <v>125</v>
      </c>
      <c r="E13" s="39">
        <f>(E10/E8)^(1/(2045-2018))-1</f>
        <v>7.5263749078304798E-3</v>
      </c>
      <c r="F13" s="26"/>
      <c r="H13" s="14">
        <f t="shared" si="3"/>
        <v>2027</v>
      </c>
      <c r="I13" s="79">
        <f t="shared" si="10"/>
        <v>12567.536124687549</v>
      </c>
      <c r="J13" s="50">
        <f t="shared" si="4"/>
        <v>275782.01272014354</v>
      </c>
      <c r="K13" s="50">
        <f>IF(H13=Year_Open_to_Traffic?,Calculations!$E$4,K12+(K12*M13))</f>
        <v>220625.61017611483</v>
      </c>
      <c r="L13" s="50">
        <f>IF(AND(H13&gt;=Year_Open_to_Traffic?, Calculations!H13&lt;Year_Open_to_Traffic?+'Inputs &amp; Outputs'!B$21), 1, 0)</f>
        <v>1</v>
      </c>
      <c r="M13" s="65">
        <f t="shared" si="11"/>
        <v>2.3033208532412752E-2</v>
      </c>
      <c r="N13" s="71">
        <f t="shared" si="12"/>
        <v>0.53177912768956781</v>
      </c>
      <c r="O13" s="72">
        <f t="shared" si="7"/>
        <v>1</v>
      </c>
      <c r="P13" s="68">
        <f t="shared" si="8"/>
        <v>55156.402544028708</v>
      </c>
      <c r="Q13" s="69">
        <f t="shared" si="0"/>
        <v>1</v>
      </c>
      <c r="R13" s="70">
        <f t="shared" si="1"/>
        <v>21.754790222980041</v>
      </c>
      <c r="S13" s="77">
        <f t="shared" si="2"/>
        <v>1667.8831938514263</v>
      </c>
      <c r="T13" s="64">
        <f t="shared" si="9"/>
        <v>907.21794782480833</v>
      </c>
      <c r="W13" s="58"/>
    </row>
    <row r="14" spans="1:24">
      <c r="H14" s="49">
        <f>H13+1</f>
        <v>2028</v>
      </c>
      <c r="I14" s="79">
        <f t="shared" si="10"/>
        <v>12857.006804986107</v>
      </c>
      <c r="J14" s="50">
        <f t="shared" si="4"/>
        <v>282134.15732861514</v>
      </c>
      <c r="K14" s="50">
        <f>IF(H14=Year_Open_to_Traffic?,Calculations!$E$4,K13+(K13*M14))</f>
        <v>225707.32586289209</v>
      </c>
      <c r="L14" s="50">
        <f>IF(AND(H14&gt;=Year_Open_to_Traffic?, Calculations!H14&lt;Year_Open_to_Traffic?+'Inputs &amp; Outputs'!B$21), 1, 0)</f>
        <v>1</v>
      </c>
      <c r="M14" s="65">
        <f t="shared" si="11"/>
        <v>2.3033208532412752E-2</v>
      </c>
      <c r="N14" s="71">
        <f t="shared" si="12"/>
        <v>0.54402770723082616</v>
      </c>
      <c r="O14" s="72">
        <f t="shared" si="7"/>
        <v>1</v>
      </c>
      <c r="P14" s="68">
        <f t="shared" si="8"/>
        <v>56426.831465723051</v>
      </c>
      <c r="Q14" s="69">
        <f t="shared" si="0"/>
        <v>1</v>
      </c>
      <c r="R14" s="70">
        <f t="shared" si="1"/>
        <v>22.255150398108579</v>
      </c>
      <c r="S14" s="77">
        <f t="shared" si="2"/>
        <v>1745.5447928541648</v>
      </c>
      <c r="T14" s="64">
        <f t="shared" si="9"/>
        <v>887.34645983685732</v>
      </c>
      <c r="W14" s="58"/>
    </row>
    <row r="15" spans="1:24">
      <c r="H15" s="14">
        <f t="shared" si="3"/>
        <v>2029</v>
      </c>
      <c r="I15" s="79">
        <f t="shared" si="10"/>
        <v>13153.144923828002</v>
      </c>
      <c r="J15" s="50">
        <f t="shared" si="4"/>
        <v>288632.6122084817</v>
      </c>
      <c r="K15" s="50">
        <f>IF(H15=Year_Open_to_Traffic?,Calculations!$E$4,K14+(K14*M15))</f>
        <v>230906.08976678533</v>
      </c>
      <c r="L15" s="50">
        <f>IF(AND(H15&gt;=Year_Open_to_Traffic?, Calculations!H15&lt;Year_Open_to_Traffic?+'Inputs &amp; Outputs'!B$21), 1, 0)</f>
        <v>1</v>
      </c>
      <c r="M15" s="65">
        <f t="shared" si="11"/>
        <v>2.3033208532412752E-2</v>
      </c>
      <c r="N15" s="71">
        <f t="shared" si="12"/>
        <v>0.55655841085888413</v>
      </c>
      <c r="O15" s="72">
        <f t="shared" si="7"/>
        <v>1</v>
      </c>
      <c r="P15" s="68">
        <f t="shared" si="8"/>
        <v>57726.522441696376</v>
      </c>
      <c r="Q15" s="69">
        <f t="shared" si="0"/>
        <v>1</v>
      </c>
      <c r="R15" s="70">
        <f t="shared" si="1"/>
        <v>22.767018857265079</v>
      </c>
      <c r="S15" s="77">
        <f t="shared" si="2"/>
        <v>1826.8225467422674</v>
      </c>
      <c r="T15" s="64">
        <f t="shared" si="9"/>
        <v>867.91023223567652</v>
      </c>
      <c r="W15" s="58"/>
    </row>
    <row r="16" spans="1:24">
      <c r="H16" s="49">
        <f t="shared" si="3"/>
        <v>2030</v>
      </c>
      <c r="I16" s="79">
        <f t="shared" si="10"/>
        <v>13456.104053715579</v>
      </c>
      <c r="J16" s="50">
        <f t="shared" si="4"/>
        <v>295280.74735473469</v>
      </c>
      <c r="K16" s="50">
        <f>IF(H16=Year_Open_to_Traffic?,Calculations!$E$4,K15+(K15*M16))</f>
        <v>236224.5978837877</v>
      </c>
      <c r="L16" s="50">
        <f>IF(AND(H16&gt;=Year_Open_to_Traffic?, Calculations!H16&lt;Year_Open_to_Traffic?+'Inputs &amp; Outputs'!B$21), 1, 0)</f>
        <v>1</v>
      </c>
      <c r="M16" s="65">
        <f t="shared" si="11"/>
        <v>2.3033208532412752E-2</v>
      </c>
      <c r="N16" s="71">
        <f t="shared" si="12"/>
        <v>0.56937773679666503</v>
      </c>
      <c r="O16" s="72">
        <f t="shared" si="7"/>
        <v>1</v>
      </c>
      <c r="P16" s="68">
        <f t="shared" si="8"/>
        <v>59056.149470946984</v>
      </c>
      <c r="Q16" s="69">
        <f t="shared" si="0"/>
        <v>1</v>
      </c>
      <c r="R16" s="70">
        <f t="shared" si="1"/>
        <v>23.290660290982171</v>
      </c>
      <c r="S16" s="77">
        <f t="shared" si="2"/>
        <v>1911.8848344355968</v>
      </c>
      <c r="T16" s="64">
        <f t="shared" si="9"/>
        <v>848.89973118039813</v>
      </c>
      <c r="W16" s="58"/>
    </row>
    <row r="17" spans="1:23">
      <c r="A17" s="27"/>
      <c r="H17" s="14">
        <f t="shared" si="3"/>
        <v>2031</v>
      </c>
      <c r="I17" s="79">
        <f t="shared" si="10"/>
        <v>13766.041304418653</v>
      </c>
      <c r="J17" s="50">
        <f t="shared" si="4"/>
        <v>302082.010384163</v>
      </c>
      <c r="K17" s="50">
        <f>IF(H17=Year_Open_to_Traffic?,Calculations!$E$4,K16+(K16*M17))</f>
        <v>241665.60830733035</v>
      </c>
      <c r="L17" s="50">
        <f>IF(AND(H17&gt;=Year_Open_to_Traffic?, Calculations!H17&lt;Year_Open_to_Traffic?+'Inputs &amp; Outputs'!B$21), 1, 0)</f>
        <v>1</v>
      </c>
      <c r="M17" s="65">
        <f t="shared" si="11"/>
        <v>2.3033208532412752E-2</v>
      </c>
      <c r="N17" s="71">
        <f t="shared" si="12"/>
        <v>0.58249233294201586</v>
      </c>
      <c r="O17" s="72">
        <f t="shared" si="7"/>
        <v>1</v>
      </c>
      <c r="P17" s="68">
        <f t="shared" si="8"/>
        <v>60416.402076832659</v>
      </c>
      <c r="Q17" s="69">
        <f t="shared" si="0"/>
        <v>1</v>
      </c>
      <c r="R17" s="70">
        <f t="shared" si="1"/>
        <v>23.82634547767476</v>
      </c>
      <c r="S17" s="77">
        <f t="shared" si="2"/>
        <v>2000.9078750770032</v>
      </c>
      <c r="T17" s="64">
        <f t="shared" si="9"/>
        <v>830.30563165715557</v>
      </c>
      <c r="W17" s="58"/>
    </row>
    <row r="18" spans="1:23">
      <c r="H18" s="49">
        <f t="shared" si="3"/>
        <v>2032</v>
      </c>
      <c r="I18" s="79">
        <f t="shared" si="10"/>
        <v>14083.117404449136</v>
      </c>
      <c r="J18" s="50">
        <f t="shared" si="4"/>
        <v>309039.92832323193</v>
      </c>
      <c r="K18" s="50">
        <f>IF(H18=Year_Open_to_Traffic?,Calculations!$E$4,K17+(K17*M18))</f>
        <v>247231.94265858547</v>
      </c>
      <c r="L18" s="50">
        <f>IF(AND(H18&gt;=Year_Open_to_Traffic?, Calculations!H18&lt;Year_Open_to_Traffic?+'Inputs &amp; Outputs'!B$21), 1, 0)</f>
        <v>1</v>
      </c>
      <c r="M18" s="65">
        <f t="shared" si="11"/>
        <v>2.3033208532412752E-2</v>
      </c>
      <c r="N18" s="71">
        <f t="shared" si="12"/>
        <v>0.59590900031520089</v>
      </c>
      <c r="O18" s="72">
        <f t="shared" si="7"/>
        <v>1</v>
      </c>
      <c r="P18" s="68">
        <f t="shared" si="8"/>
        <v>61807.985664646461</v>
      </c>
      <c r="Q18" s="69">
        <f t="shared" si="0"/>
        <v>1</v>
      </c>
      <c r="R18" s="70">
        <f t="shared" si="1"/>
        <v>24.374351423661277</v>
      </c>
      <c r="S18" s="77">
        <f t="shared" si="2"/>
        <v>2094.0760930964088</v>
      </c>
      <c r="T18" s="64">
        <f t="shared" si="9"/>
        <v>812.11881290498809</v>
      </c>
      <c r="W18" s="58"/>
    </row>
    <row r="19" spans="1:23">
      <c r="H19" s="14">
        <f t="shared" si="3"/>
        <v>2033</v>
      </c>
      <c r="I19" s="79">
        <f t="shared" si="10"/>
        <v>14407.496784412264</v>
      </c>
      <c r="J19" s="50">
        <f t="shared" si="4"/>
        <v>316158.10943714285</v>
      </c>
      <c r="K19" s="50">
        <f>IF(H19=Year_Open_to_Traffic?,Calculations!$E$4,K18+(K18*M19))</f>
        <v>252926.48754971419</v>
      </c>
      <c r="L19" s="50">
        <f>IF(AND(H19&gt;=Year_Open_to_Traffic?, Calculations!H19&lt;Year_Open_to_Traffic?+'Inputs &amp; Outputs'!B$21), 1, 0)</f>
        <v>1</v>
      </c>
      <c r="M19" s="65">
        <f t="shared" si="11"/>
        <v>2.3033208532412752E-2</v>
      </c>
      <c r="N19" s="71">
        <f t="shared" si="12"/>
        <v>0.60963469658580249</v>
      </c>
      <c r="O19" s="72">
        <f t="shared" si="7"/>
        <v>1</v>
      </c>
      <c r="P19" s="68">
        <f t="shared" si="8"/>
        <v>63231.621887428657</v>
      </c>
      <c r="Q19" s="69">
        <f t="shared" si="0"/>
        <v>1</v>
      </c>
      <c r="R19" s="70">
        <f t="shared" si="1"/>
        <v>24.934961506405479</v>
      </c>
      <c r="S19" s="77">
        <f t="shared" si="2"/>
        <v>2191.5825002733613</v>
      </c>
      <c r="T19" s="64">
        <f t="shared" si="9"/>
        <v>794.33035394193041</v>
      </c>
      <c r="W19" s="58"/>
    </row>
    <row r="20" spans="1:23">
      <c r="H20" s="49">
        <f t="shared" si="3"/>
        <v>2034</v>
      </c>
      <c r="I20" s="79">
        <f t="shared" si="10"/>
        <v>14739.347662277698</v>
      </c>
      <c r="J20" s="50">
        <f t="shared" si="4"/>
        <v>323440.24510102195</v>
      </c>
      <c r="K20" s="50">
        <f>IF(H20=Year_Open_to_Traffic?,Calculations!$E$4,K19+(K19*M20))</f>
        <v>258752.19608081746</v>
      </c>
      <c r="L20" s="50">
        <f>IF(AND(H20&gt;=Year_Open_to_Traffic?, Calculations!H20&lt;Year_Open_to_Traffic?+'Inputs &amp; Outputs'!B$21), 1, 0)</f>
        <v>1</v>
      </c>
      <c r="M20" s="65">
        <f t="shared" si="11"/>
        <v>2.3033208532412752E-2</v>
      </c>
      <c r="N20" s="71">
        <f t="shared" si="12"/>
        <v>0.62367653968085746</v>
      </c>
      <c r="O20" s="72">
        <f t="shared" si="7"/>
        <v>1</v>
      </c>
      <c r="P20" s="68">
        <f t="shared" si="8"/>
        <v>64688.049020204489</v>
      </c>
      <c r="Q20" s="69">
        <f t="shared" si="0"/>
        <v>1</v>
      </c>
      <c r="R20" s="70">
        <f t="shared" si="1"/>
        <v>25.508465621052807</v>
      </c>
      <c r="S20" s="77">
        <f t="shared" si="2"/>
        <v>2293.629095589562</v>
      </c>
      <c r="T20" s="64">
        <f t="shared" si="9"/>
        <v>776.93152918910482</v>
      </c>
      <c r="W20" s="58"/>
    </row>
    <row r="21" spans="1:23">
      <c r="H21" s="14">
        <f t="shared" si="3"/>
        <v>2035</v>
      </c>
      <c r="I21" s="79">
        <f t="shared" si="10"/>
        <v>15078.84213061467</v>
      </c>
      <c r="J21" s="50">
        <f t="shared" si="4"/>
        <v>330890.1117142085</v>
      </c>
      <c r="K21" s="50">
        <f>IF(H21=Year_Open_to_Traffic?,Calculations!$E$4,K20+(K20*M21))</f>
        <v>264712.08937136666</v>
      </c>
      <c r="L21" s="50">
        <f>IF(AND(H21&gt;=Year_Open_to_Traffic?, Calculations!H21&lt;Year_Open_to_Traffic?+'Inputs &amp; Outputs'!B$21), 1, 0)</f>
        <v>1</v>
      </c>
      <c r="M21" s="65">
        <f t="shared" si="11"/>
        <v>2.3033208532412752E-2</v>
      </c>
      <c r="N21" s="71">
        <f t="shared" si="12"/>
        <v>0.63804181147610028</v>
      </c>
      <c r="O21" s="72">
        <f t="shared" si="7"/>
        <v>1</v>
      </c>
      <c r="P21" s="68">
        <f t="shared" si="8"/>
        <v>66178.022342841839</v>
      </c>
      <c r="Q21" s="69">
        <f t="shared" si="0"/>
        <v>1</v>
      </c>
      <c r="R21" s="70">
        <f t="shared" si="1"/>
        <v>26.095160330337016</v>
      </c>
      <c r="S21" s="77">
        <f t="shared" si="2"/>
        <v>2400.4272836997056</v>
      </c>
      <c r="T21" s="64">
        <f t="shared" si="9"/>
        <v>759.91380419065399</v>
      </c>
      <c r="W21" s="58"/>
    </row>
    <row r="22" spans="1:23">
      <c r="H22" s="49">
        <f>H21+1</f>
        <v>2036</v>
      </c>
      <c r="I22" s="79">
        <f t="shared" si="10"/>
        <v>15426.15624583645</v>
      </c>
      <c r="J22" s="50">
        <f t="shared" si="4"/>
        <v>338511.57265863521</v>
      </c>
      <c r="K22" s="50">
        <f>IF(H22=Year_Open_to_Traffic?,Calculations!$E$4,K21+(K21*M22))</f>
        <v>270809.25812690804</v>
      </c>
      <c r="L22" s="50">
        <f>IF(AND(H22&gt;=Year_Open_to_Traffic?, Calculations!H22&lt;Year_Open_to_Traffic?+'Inputs &amp; Outputs'!B$21), 1, 0)</f>
        <v>1</v>
      </c>
      <c r="M22" s="65">
        <f t="shared" si="11"/>
        <v>2.3033208532412752E-2</v>
      </c>
      <c r="N22" s="71">
        <f t="shared" si="12"/>
        <v>0.65273796157222763</v>
      </c>
      <c r="O22" s="72">
        <f t="shared" si="7"/>
        <v>1</v>
      </c>
      <c r="P22" s="68">
        <f t="shared" si="8"/>
        <v>67702.31453172717</v>
      </c>
      <c r="Q22" s="69">
        <f t="shared" si="0"/>
        <v>1</v>
      </c>
      <c r="R22" s="70">
        <f t="shared" si="1"/>
        <v>26.695349017934767</v>
      </c>
      <c r="S22" s="77">
        <f t="shared" si="2"/>
        <v>2512.1983128875704</v>
      </c>
      <c r="T22" s="64">
        <f t="shared" si="9"/>
        <v>743.26883142742849</v>
      </c>
      <c r="W22" s="58"/>
    </row>
    <row r="23" spans="1:23">
      <c r="H23" s="14">
        <f t="shared" si="3"/>
        <v>2037</v>
      </c>
      <c r="I23" s="79">
        <f t="shared" si="10"/>
        <v>15781.470119500382</v>
      </c>
      <c r="J23" s="50">
        <f t="shared" si="4"/>
        <v>346308.58030231652</v>
      </c>
      <c r="K23" s="50">
        <f>IF(H23=Year_Open_to_Traffic?,Calculations!$E$4,K22+(K22*M23))</f>
        <v>277046.86424185312</v>
      </c>
      <c r="L23" s="50">
        <f>IF(AND(H23&gt;=Year_Open_to_Traffic?, Calculations!H23&lt;Year_Open_to_Traffic?+'Inputs &amp; Outputs'!B$21), 1, 0)</f>
        <v>1</v>
      </c>
      <c r="M23" s="65">
        <f t="shared" si="11"/>
        <v>2.3033208532412752E-2</v>
      </c>
      <c r="N23" s="71">
        <f t="shared" si="12"/>
        <v>0.66777261115814279</v>
      </c>
      <c r="O23" s="72">
        <f t="shared" si="7"/>
        <v>1</v>
      </c>
      <c r="P23" s="68">
        <f t="shared" si="8"/>
        <v>69261.716060463397</v>
      </c>
      <c r="Q23" s="69">
        <f t="shared" si="0"/>
        <v>1</v>
      </c>
      <c r="R23" s="70">
        <f t="shared" si="1"/>
        <v>27.309342045347261</v>
      </c>
      <c r="S23" s="77">
        <f t="shared" si="2"/>
        <v>2629.1737334146542</v>
      </c>
      <c r="T23" s="64">
        <f t="shared" si="9"/>
        <v>726.98844622237129</v>
      </c>
      <c r="W23" s="58"/>
    </row>
    <row r="24" spans="1:23">
      <c r="H24" s="49">
        <f t="shared" si="3"/>
        <v>2038</v>
      </c>
      <c r="I24" s="79">
        <f t="shared" si="10"/>
        <v>16144.968011710875</v>
      </c>
      <c r="J24" s="50">
        <f t="shared" si="4"/>
        <v>354285.17804898357</v>
      </c>
      <c r="K24" s="50">
        <f>IF(H24=Year_Open_to_Traffic?,Calculations!$E$4,K23+(K23*M24))</f>
        <v>283428.14243918675</v>
      </c>
      <c r="L24" s="50">
        <f>IF(AND(H24&gt;=Year_Open_to_Traffic?, Calculations!H24&lt;Year_Open_to_Traffic?+'Inputs &amp; Outputs'!B$21), 1, 0)</f>
        <v>1</v>
      </c>
      <c r="M24" s="65">
        <f t="shared" si="11"/>
        <v>2.3033208532412752E-2</v>
      </c>
      <c r="N24" s="71">
        <f t="shared" si="12"/>
        <v>0.68315355696318203</v>
      </c>
      <c r="O24" s="72">
        <f t="shared" si="7"/>
        <v>1</v>
      </c>
      <c r="P24" s="68">
        <f>(J24-K24)*L24</f>
        <v>70857.035609796818</v>
      </c>
      <c r="Q24" s="69">
        <f t="shared" si="0"/>
        <v>1</v>
      </c>
      <c r="R24" s="70">
        <f t="shared" si="1"/>
        <v>27.93745691239025</v>
      </c>
      <c r="S24" s="77">
        <f t="shared" si="2"/>
        <v>2751.5958772108761</v>
      </c>
      <c r="T24" s="64">
        <f t="shared" si="9"/>
        <v>711.06466273558692</v>
      </c>
      <c r="W24" s="58"/>
    </row>
    <row r="25" spans="1:23">
      <c r="H25" s="14">
        <f t="shared" si="3"/>
        <v>2039</v>
      </c>
      <c r="I25" s="79">
        <f t="shared" si="10"/>
        <v>16516.838426673745</v>
      </c>
      <c r="J25" s="50">
        <f t="shared" si="4"/>
        <v>362445.50243492879</v>
      </c>
      <c r="K25" s="50">
        <f>IF(H25=Year_Open_to_Traffic?,Calculations!$E$4,K24+(K24*M25))</f>
        <v>289956.40194794291</v>
      </c>
      <c r="L25" s="50">
        <f>IF(AND(H25&gt;=Year_Open_to_Traffic?, Calculations!H25&lt;Year_Open_to_Traffic?+'Inputs &amp; Outputs'!B$21), 1, 0)</f>
        <v>1</v>
      </c>
      <c r="M25" s="65">
        <f t="shared" si="11"/>
        <v>2.3033208532412752E-2</v>
      </c>
      <c r="N25" s="71">
        <f t="shared" si="12"/>
        <v>0.69888877530037452</v>
      </c>
      <c r="O25" s="72">
        <f t="shared" si="7"/>
        <v>1</v>
      </c>
      <c r="P25" s="68">
        <f t="shared" si="8"/>
        <v>72489.100486985873</v>
      </c>
      <c r="Q25" s="69">
        <f t="shared" si="0"/>
        <v>1</v>
      </c>
      <c r="R25" s="70">
        <f t="shared" si="1"/>
        <v>28.580018421375218</v>
      </c>
      <c r="S25" s="77">
        <f t="shared" si="2"/>
        <v>2879.7183599010959</v>
      </c>
      <c r="T25" s="64">
        <f t="shared" si="9"/>
        <v>695.48967004713143</v>
      </c>
      <c r="W25" s="58"/>
    </row>
    <row r="26" spans="1:23">
      <c r="H26" s="49">
        <f t="shared" si="3"/>
        <v>2040</v>
      </c>
      <c r="I26" s="79">
        <f t="shared" si="10"/>
        <v>16897.274210451491</v>
      </c>
      <c r="J26" s="50">
        <f t="shared" si="4"/>
        <v>370793.78527414764</v>
      </c>
      <c r="K26" s="50">
        <f>IF(H26=Year_Open_to_Traffic?,Calculations!$E$4,K25+(K25*M26))</f>
        <v>296635.02821931796</v>
      </c>
      <c r="L26" s="50">
        <f>IF(AND(H26&gt;=Year_Open_to_Traffic?, Calculations!H26&lt;Year_Open_to_Traffic?+'Inputs &amp; Outputs'!B$21), 1, 0)</f>
        <v>1</v>
      </c>
      <c r="M26" s="65">
        <f t="shared" si="11"/>
        <v>2.3033208532412752E-2</v>
      </c>
      <c r="N26" s="71">
        <f t="shared" si="12"/>
        <v>0.71498642620283059</v>
      </c>
      <c r="O26" s="72">
        <f t="shared" si="7"/>
        <v>1</v>
      </c>
      <c r="P26" s="68">
        <f t="shared" si="8"/>
        <v>74158.757054829679</v>
      </c>
      <c r="Q26" s="69">
        <f t="shared" si="0"/>
        <v>1</v>
      </c>
      <c r="R26" s="70">
        <f t="shared" si="1"/>
        <v>29.237358845066851</v>
      </c>
      <c r="S26" s="77">
        <f t="shared" si="2"/>
        <v>3013.8066062075018</v>
      </c>
      <c r="T26" s="64">
        <f t="shared" si="9"/>
        <v>680.25582832561133</v>
      </c>
      <c r="W26" s="58"/>
    </row>
    <row r="27" spans="1:23">
      <c r="H27" s="14">
        <f t="shared" si="3"/>
        <v>2041</v>
      </c>
      <c r="I27" s="79">
        <f t="shared" si="10"/>
        <v>17286.47265097018</v>
      </c>
      <c r="J27" s="50">
        <f t="shared" si="4"/>
        <v>379334.35585288977</v>
      </c>
      <c r="K27" s="50">
        <f>IF(H27=Year_Open_to_Traffic?,Calculations!$E$4,K26+(K26*M27))</f>
        <v>303467.48468231165</v>
      </c>
      <c r="L27" s="50">
        <f>IF(AND(H27&gt;=Year_Open_to_Traffic?, Calculations!H27&lt;Year_Open_to_Traffic?+'Inputs &amp; Outputs'!B$21), 1, 0)</f>
        <v>1</v>
      </c>
      <c r="M27" s="65">
        <f t="shared" si="11"/>
        <v>2.3033208532412752E-2</v>
      </c>
      <c r="N27" s="71">
        <f t="shared" si="12"/>
        <v>0.73145485765540497</v>
      </c>
      <c r="O27" s="72">
        <f t="shared" si="7"/>
        <v>1</v>
      </c>
      <c r="P27" s="68">
        <f t="shared" si="8"/>
        <v>75866.871170578117</v>
      </c>
      <c r="Q27" s="69">
        <f t="shared" si="0"/>
        <v>1</v>
      </c>
      <c r="R27" s="70">
        <f t="shared" si="1"/>
        <v>29.909818098503379</v>
      </c>
      <c r="S27" s="77">
        <f t="shared" si="2"/>
        <v>3154.1383998162682</v>
      </c>
      <c r="T27" s="64">
        <f t="shared" si="9"/>
        <v>665.35566508069633</v>
      </c>
      <c r="W27" s="58"/>
    </row>
    <row r="28" spans="1:23">
      <c r="H28" s="49">
        <f t="shared" si="3"/>
        <v>2042</v>
      </c>
      <c r="I28" s="79">
        <f t="shared" si="10"/>
        <v>17684.635580329825</v>
      </c>
      <c r="J28" s="50">
        <f t="shared" si="4"/>
        <v>388071.64317475783</v>
      </c>
      <c r="K28" s="50">
        <f>IF(H28=Year_Open_to_Traffic?,Calculations!$E$4,K27+(K27*M28))</f>
        <v>310457.3145398061</v>
      </c>
      <c r="L28" s="50">
        <f>IF(AND(H28&gt;=Year_Open_to_Traffic?, Calculations!H28&lt;Year_Open_to_Traffic?+'Inputs &amp; Outputs'!B$21), 1, 0)</f>
        <v>1</v>
      </c>
      <c r="M28" s="65">
        <f t="shared" si="11"/>
        <v>2.3033208532412752E-2</v>
      </c>
      <c r="N28" s="71">
        <f t="shared" si="12"/>
        <v>0.74830260992382824</v>
      </c>
      <c r="O28" s="72">
        <f t="shared" si="7"/>
        <v>1</v>
      </c>
      <c r="P28" s="68">
        <f t="shared" si="8"/>
        <v>77614.328634951729</v>
      </c>
      <c r="Q28" s="69">
        <f t="shared" si="0"/>
        <v>1</v>
      </c>
      <c r="R28" s="70">
        <f t="shared" si="1"/>
        <v>30.597743914768959</v>
      </c>
      <c r="S28" s="77">
        <f t="shared" si="2"/>
        <v>3301.0044588476717</v>
      </c>
      <c r="T28" s="64">
        <f t="shared" si="9"/>
        <v>650.78187149772407</v>
      </c>
      <c r="W28" s="58"/>
    </row>
    <row r="29" spans="1:23">
      <c r="H29" s="14">
        <f t="shared" si="3"/>
        <v>2043</v>
      </c>
      <c r="I29" s="79">
        <f t="shared" si="10"/>
        <v>18091.969479471289</v>
      </c>
      <c r="J29" s="50">
        <f t="shared" si="4"/>
        <v>397010.1782575181</v>
      </c>
      <c r="K29" s="50">
        <f>IF(H29=Year_Open_to_Traffic?,Calculations!$E$4,K28+(K28*M29))</f>
        <v>317608.14260601433</v>
      </c>
      <c r="L29" s="50">
        <f>IF(AND(H29&gt;=Year_Open_to_Traffic?, Calculations!H29&lt;Year_Open_to_Traffic?+'Inputs &amp; Outputs'!B$21), 1, 0)</f>
        <v>1</v>
      </c>
      <c r="M29" s="65">
        <f t="shared" si="11"/>
        <v>2.3033208532412752E-2</v>
      </c>
      <c r="N29" s="71">
        <f t="shared" si="12"/>
        <v>0.76553841998355254</v>
      </c>
      <c r="O29" s="72">
        <f t="shared" si="7"/>
        <v>1</v>
      </c>
      <c r="P29" s="68">
        <f t="shared" si="8"/>
        <v>79402.035651503771</v>
      </c>
      <c r="Q29" s="69">
        <f t="shared" si="0"/>
        <v>1</v>
      </c>
      <c r="R29" s="70">
        <f t="shared" si="1"/>
        <v>31.301492024808638</v>
      </c>
      <c r="S29" s="77">
        <f t="shared" si="2"/>
        <v>3454.7090381217718</v>
      </c>
      <c r="T29" s="64">
        <f t="shared" si="9"/>
        <v>636.52729885258384</v>
      </c>
      <c r="W29" s="58"/>
    </row>
    <row r="30" spans="1:23">
      <c r="H30" s="14">
        <f t="shared" si="3"/>
        <v>2044</v>
      </c>
      <c r="I30" s="79">
        <f t="shared" si="10"/>
        <v>18508.685585253999</v>
      </c>
      <c r="J30" s="50">
        <f t="shared" si="4"/>
        <v>406154.59648281388</v>
      </c>
      <c r="K30" s="50">
        <f>IF(H30=Year_Open_to_Traffic?,Calculations!$E$4,K29+(K29*M30))</f>
        <v>324923.67718625092</v>
      </c>
      <c r="L30" s="50">
        <f>IF(AND(H30&gt;=Year_Open_to_Traffic?, Calculations!H30&lt;Year_Open_to_Traffic?+'Inputs &amp; Outputs'!B$21), 1, 0)</f>
        <v>0</v>
      </c>
      <c r="M30" s="65">
        <f t="shared" si="11"/>
        <v>2.3033208532412752E-2</v>
      </c>
      <c r="N30" s="71">
        <f t="shared" si="12"/>
        <v>0.78317122605060752</v>
      </c>
      <c r="O30" s="72">
        <f t="shared" si="7"/>
        <v>1</v>
      </c>
      <c r="P30" s="68">
        <f t="shared" si="8"/>
        <v>0</v>
      </c>
      <c r="Q30" s="69">
        <f t="shared" si="0"/>
        <v>0</v>
      </c>
      <c r="R30" s="70">
        <f t="shared" si="1"/>
        <v>32.021426341379232</v>
      </c>
      <c r="S30" s="77">
        <f t="shared" si="2"/>
        <v>0</v>
      </c>
      <c r="T30" s="64">
        <f t="shared" si="9"/>
        <v>0</v>
      </c>
      <c r="W30" s="58"/>
    </row>
    <row r="31" spans="1:23">
      <c r="H31" s="14">
        <f t="shared" si="3"/>
        <v>2045</v>
      </c>
      <c r="I31" s="79">
        <f t="shared" si="10"/>
        <v>18935.000000000018</v>
      </c>
      <c r="J31" s="50">
        <f t="shared" si="4"/>
        <v>415509.64000000048</v>
      </c>
      <c r="K31" s="50">
        <f>IF(H31=Year_Open_to_Traffic?,Calculations!$E$4,K30+(K30*M31))</f>
        <v>332407.71200000017</v>
      </c>
      <c r="L31" s="50">
        <f>IF(AND(H31&gt;=Year_Open_to_Traffic?, Calculations!H31&lt;Year_Open_to_Traffic?+'Inputs &amp; Outputs'!B$21), 1, 0)</f>
        <v>0</v>
      </c>
      <c r="M31" s="65">
        <f t="shared" si="11"/>
        <v>2.3033208532412752E-2</v>
      </c>
      <c r="N31" s="71">
        <f t="shared" si="12"/>
        <v>0.80121017221681656</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19371.133803561253</v>
      </c>
      <c r="J32" s="50">
        <f t="shared" si="4"/>
        <v>425080.16018534824</v>
      </c>
      <c r="K32" s="50">
        <f>IF(H32=Year_Open_to_Traffic?,Calculations!$E$4,K31+(K31*M32))</f>
        <v>340064.1281482784</v>
      </c>
      <c r="L32" s="50">
        <f>IF(AND(H32&gt;=Year_Open_to_Traffic?, Calculations!H32&lt;Year_Open_to_Traffic?+'Inputs &amp; Outputs'!B$21), 1, 0)</f>
        <v>0</v>
      </c>
      <c r="M32" s="65">
        <f t="shared" si="11"/>
        <v>2.3033208532412752E-2</v>
      </c>
      <c r="N32" s="71">
        <f t="shared" si="12"/>
        <v>0.81966461319177686</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19817.31316796795</v>
      </c>
      <c r="J33" s="50">
        <f t="shared" si="4"/>
        <v>434871.1201578888</v>
      </c>
      <c r="K33" s="50">
        <f>IF(H33=Year_Open_to_Traffic?,Calculations!$E$4,K32+(K32*M33))</f>
        <v>347896.89612631081</v>
      </c>
      <c r="L33" s="50">
        <f>IF(AND(H33&gt;=Year_Open_to_Traffic?, Calculations!H33&lt;Year_Open_to_Traffic?+'Inputs &amp; Outputs'!B$21), 1, 0)</f>
        <v>0</v>
      </c>
      <c r="M33" s="65">
        <f t="shared" si="11"/>
        <v>2.3033208532412752E-2</v>
      </c>
      <c r="N33" s="71">
        <f t="shared" si="12"/>
        <v>0.83854411915406246</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20273.769474717887</v>
      </c>
      <c r="J34" s="50">
        <f t="shared" si="4"/>
        <v>444887.59735320939</v>
      </c>
      <c r="K34" s="50">
        <f>IF(H34=Year_Open_to_Traffic?,Calculations!$E$4,K33+(K33*M34))</f>
        <v>355910.07788256725</v>
      </c>
      <c r="L34" s="50">
        <f>IF(AND(H34&gt;=Year_Open_to_Traffic?, Calculations!H34&lt;Year_Open_to_Traffic?+'Inputs &amp; Outputs'!B$21), 1, 0)</f>
        <v>0</v>
      </c>
      <c r="M34" s="65">
        <f t="shared" si="11"/>
        <v>2.3033208532412752E-2</v>
      </c>
      <c r="N34" s="71">
        <f t="shared" si="12"/>
        <v>0.85785848071416637</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20740.739434767129</v>
      </c>
      <c r="J35" s="50">
        <f t="shared" si="4"/>
        <v>455134.78615652997</v>
      </c>
      <c r="K35" s="50">
        <f>IF(H35=Year_Open_to_Traffic?,Calculations!$E$4,K34+(K34*M35))</f>
        <v>364107.82892522367</v>
      </c>
      <c r="L35" s="50">
        <f>IF(AND(H35&gt;=Year_Open_to_Traffic?, Calculations!H35&lt;Year_Open_to_Traffic?+'Inputs &amp; Outputs'!B$21), 1, 0)</f>
        <v>0</v>
      </c>
      <c r="M35" s="65">
        <f t="shared" si="11"/>
        <v>2.3033208532412752E-2</v>
      </c>
      <c r="N35" s="71">
        <f t="shared" si="12"/>
        <v>0.87761771399175459</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21218.465211284558</v>
      </c>
      <c r="J36" s="50">
        <f t="shared" si="4"/>
        <v>465618.00059642841</v>
      </c>
      <c r="K36" s="50">
        <f>IF(H36=Year_Open_to_Traffic?,Calculations!$E$4,K35+(K35*M36))</f>
        <v>372494.40047714242</v>
      </c>
      <c r="L36" s="50">
        <f>IF(AND(H36&gt;=Year_Open_to_Traffic?, Calculations!H36&lt;Year_Open_to_Traffic?+'Inputs &amp; Outputs'!B$21), 1, 0)</f>
        <v>0</v>
      </c>
      <c r="M36" s="65">
        <f t="shared" si="11"/>
        <v>2.3033208532412752E-2</v>
      </c>
      <c r="N36" s="71">
        <f t="shared" si="12"/>
        <v>0.89783206580986608</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15795.388091228311</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159</v>
      </c>
      <c r="N6" s="44" t="s">
        <v>55</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164</v>
      </c>
      <c r="C9" s="81">
        <v>0.2</v>
      </c>
      <c r="D9" s="74">
        <v>0.02</v>
      </c>
      <c r="E9" s="74">
        <v>0.02</v>
      </c>
      <c r="F9" s="74">
        <v>0.2</v>
      </c>
      <c r="G9" s="91">
        <v>0.15</v>
      </c>
      <c r="H9" s="93"/>
      <c r="L9" s="44" t="s">
        <v>165</v>
      </c>
    </row>
    <row r="10" spans="2:14">
      <c r="B10" s="73" t="s">
        <v>166</v>
      </c>
      <c r="C10" s="81">
        <v>0.3</v>
      </c>
      <c r="D10" s="74">
        <v>0.1</v>
      </c>
      <c r="E10" s="74">
        <v>0.1</v>
      </c>
      <c r="F10" s="74">
        <v>0.3</v>
      </c>
      <c r="G10" s="91">
        <v>0.22</v>
      </c>
      <c r="H10" s="93"/>
      <c r="L10" s="44" t="s">
        <v>167</v>
      </c>
    </row>
    <row r="11" spans="2:14">
      <c r="B11" s="73" t="s">
        <v>73</v>
      </c>
      <c r="C11" s="81">
        <v>0.4</v>
      </c>
      <c r="D11" s="74">
        <v>0.2</v>
      </c>
      <c r="E11" s="74">
        <v>0.12</v>
      </c>
      <c r="F11" s="74">
        <v>0.4</v>
      </c>
      <c r="G11" s="91">
        <v>0.3</v>
      </c>
      <c r="H11" s="93"/>
      <c r="L11" s="44" t="s">
        <v>52</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7F5EC2-63E0-44EE-AA26-92D79E087320}"/>
</file>

<file path=customXml/itemProps2.xml><?xml version="1.0" encoding="utf-8"?>
<ds:datastoreItem xmlns:ds="http://schemas.openxmlformats.org/officeDocument/2006/customXml" ds:itemID="{223DA527-7D01-4A7E-A624-1D97D4F931D0}"/>
</file>

<file path=customXml/itemProps3.xml><?xml version="1.0" encoding="utf-8"?>
<ds:datastoreItem xmlns:ds="http://schemas.openxmlformats.org/officeDocument/2006/customXml" ds:itemID="{5ADCA0DA-B200-4E51-BA4C-DF6FC6AE94A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Andrew Mao</cp:lastModifiedBy>
  <cp:revision/>
  <dcterms:created xsi:type="dcterms:W3CDTF">2012-07-25T15:48:32Z</dcterms:created>
  <dcterms:modified xsi:type="dcterms:W3CDTF">2018-10-31T02:25:27Z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