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dept_share\H-GAC\TIP\2018 TIP Call\Application Information\CR 220\"/>
    </mc:Choice>
  </mc:AlternateContent>
  <bookViews>
    <workbookView xWindow="0" yWindow="0" windowWidth="28800" windowHeight="14028"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62913"/>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<sst xmlns="http://schemas.openxmlformats.org/spreadsheetml/2006/main" count="262" uniqueCount="130">
  <si>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</si>
  <si>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</si>
  <si>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</si>
  <si>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</si>
  <si>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</si>
  <si>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</si>
  <si>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</si>
  <si>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</si>
  <si>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</si>
  <si>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</si>
  <si>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</si>
  <si>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</si>
  <si>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</si>
  <si>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</si>
  <si>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</si>
  <si>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</si>
  <si>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</si>
  <si>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</si>
  <si>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</si>
  <si>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</si>
  <si>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</si>
  <si>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</si>
  <si>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</si>
  <si>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</si>
  <si>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</si>
  <si>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</si>
  <si>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</si>
  <si>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</si>
  <si>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</si>
  <si>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</si>
  <si>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</si>
  <si>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</si>
  <si>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</si>
  <si>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</si>
  <si>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</si>
  <si>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</si>
  <si>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</si>
  <si>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</si>
  <si>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</si>
  <si>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</si>
  <si>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</si>
  <si>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</si>
  <si>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</si>
  <si>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</si>
  <si>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</si>
  <si>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</si>
  <si>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</si>
  <si>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</si>
  <si>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</si>
  <si>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</si>
  <si>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</si>
  <si>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</si>
  <si>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</si>
  <si>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</si>
  <si>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</si>
  <si>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</si>
  <si>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</si>
  <si>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</si>
  <si>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</si>
  <si>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</si>
  <si>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</si>
  <si>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</si>
  <si>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</si>
  <si>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</si>
  <si>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</si>
  <si>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</si>
  <si>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</si>
  <si>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</si>
  <si>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</si>
  <si>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</si>
  <si>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</si>
  <si>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</si>
  <si>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</si>
  <si>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</si>
  <si>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</si>
  <si>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</si>
  <si>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</si>
  <si>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</si>
  <si>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</si>
  <si>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</si>
  <si>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</si>
  <si>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</si>
  <si>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</si>
  <si>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</si>
  <si>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</si>
  <si>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</si>
  <si>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</si>
  <si>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</si>
  <si>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</si>
  <si>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</si>
  <si>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</si>
  <si>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</si>
  <si>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</si>
  <si>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</si>
  <si>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</si>
  <si>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</si>
  <si>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</si>
  <si>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</si>
  <si>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</si>
  <si>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</si>
  <si>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</si>
  <si>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</si>
  <si>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</si>
  <si>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</si>
  <si>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</si>
  <si>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</si>
  <si>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</si>
  <si>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</si>
  <si>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</si>
  <si>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</si>
  <si>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</si>
  <si>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</si>
  <si>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</si>
  <si>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</si>
  <si>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</si>
  <si>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</si>
  <si>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</si>
  <si>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</si>
  <si>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</si>
  <si>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</si>
  <si>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</si>
  <si>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</si>
  <si>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</si>
  <si>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</si>
  <si>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</si>
  <si>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</si>
  <si>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</si>
  <si>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</si>
  <si>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</si>
  <si>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CR 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</si>
</sst>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4.4" x14ac:dyDescent="0.55000000000000004"/>
  <cols>
    <col min="1" max="1" width="45.15625" bestFit="1" customWidth="1"/>
    <col min="2" max="2" width="12.578125" customWidth="1"/>
    <col min="3" max="3" width="5.26171875" customWidth="1"/>
    <col min="4" max="4" width="23.578125" customWidth="1"/>
    <col min="5" max="5" width="15.26171875" bestFit="1" customWidth="1"/>
    <col min="6" max="6" width="13.26171875" customWidth="1"/>
    <col min="7" max="7" width="4.578125" customWidth="1"/>
  </cols>
  <sheetData>
    <row r="7" spans="1:1" x14ac:dyDescent="0.55000000000000004">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4.4" x14ac:dyDescent="0.55000000000000004"/>
  <cols>
    <col min="1" max="1" width="38.83984375" customWidth="1"/>
    <col min="2" max="2" width="12.578125" customWidth="1"/>
    <col min="3" max="3" width="5.26171875" customWidth="1"/>
    <col min="4" max="4" width="33.578125" bestFit="1" customWidth="1"/>
    <col min="5" max="5" width="13.26171875" customWidth="1"/>
    <col min="6" max="6" width="4.578125" customWidth="1"/>
    <col min="8" max="8" width="2.15625" hidden="1" customWidth="1"/>
    <col min="9" max="9" width="18.68359375" bestFit="1" customWidth="1"/>
    <col min="10" max="10" width="38.26171875" bestFit="1" customWidth="1"/>
  </cols>
  <sheetData>
    <row r="3" spans="1:10" x14ac:dyDescent="0.55000000000000004">
      <c r="A3" s="7" t="s">
        <v>3</v>
      </c>
      <c r="D3" s="7" t="s">
        <v>21</v>
      </c>
      <c r="E3" s="8" t="s">
        <v>12</v>
      </c>
      <c r="G3" s="14" t="s">
        <v>16</v>
      </c>
      <c r="H3" s="14"/>
      <c r="I3" s="14" t="s">
        <v>22</v>
      </c>
      <c r="J3" s="14" t="s">
        <v>44</v>
      </c>
    </row>
    <row r="4" spans="1:10" x14ac:dyDescent="0.55000000000000004">
      <c r="A4" s="5" t="s">
        <v>8</v>
      </c>
      <c r="B4" s="6"/>
      <c r="D4" s="5" t="s">
        <v>41</v>
      </c>
      <c r="E4" s="45">
        <v>2015</v>
      </c>
      <c r="G4" s="12">
        <f>E4</f>
        <v>2015</v>
      </c>
      <c r="H4" s="12">
        <f>IF(G4&lt;2041,1,0)</f>
        <v>1</v>
      </c>
      <c r="I4" s="21">
        <f>IF($G4&lt;($G$4+$E$5),$E$17,0)*H4</f>
        <v>0</v>
      </c>
      <c r="J4" s="34" t="e">
        <f>I4*$B$18*$B$19/10^3</f>
        <v>#REF!</v>
      </c>
    </row>
    <row r="5" spans="1:10" x14ac:dyDescent="0.55000000000000004">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55000000000000004">
      <c r="A6" s="5" t="s">
        <v>10</v>
      </c>
      <c r="B6" s="6">
        <v>1</v>
      </c>
      <c r="D6" s="121" t="s">
        <v>29</v>
      </c>
      <c r="E6" s="122"/>
      <c r="G6" s="12">
        <f t="shared" si="0"/>
        <v>2017</v>
      </c>
      <c r="H6" s="12">
        <f t="shared" si="1"/>
        <v>1</v>
      </c>
      <c r="I6" s="21">
        <f t="shared" si="2"/>
        <v>0</v>
      </c>
      <c r="J6" s="34" t="e">
        <f t="shared" si="3"/>
        <v>#REF!</v>
      </c>
    </row>
    <row r="7" spans="1:10" x14ac:dyDescent="0.55000000000000004">
      <c r="A7" s="5" t="s">
        <v>42</v>
      </c>
      <c r="B7" s="23"/>
      <c r="D7" s="5" t="s">
        <v>39</v>
      </c>
      <c r="E7" s="9"/>
      <c r="G7" s="13">
        <f t="shared" si="0"/>
        <v>2018</v>
      </c>
      <c r="H7" s="13">
        <f t="shared" si="1"/>
        <v>1</v>
      </c>
      <c r="I7" s="21">
        <f t="shared" si="2"/>
        <v>0</v>
      </c>
      <c r="J7" s="41" t="e">
        <f t="shared" si="3"/>
        <v>#REF!</v>
      </c>
    </row>
    <row r="8" spans="1:10" x14ac:dyDescent="0.55000000000000004">
      <c r="A8" s="22" t="s">
        <v>43</v>
      </c>
      <c r="B8" s="23"/>
      <c r="D8" s="5" t="s">
        <v>37</v>
      </c>
      <c r="E8" s="44">
        <v>1.1499999999999999</v>
      </c>
      <c r="G8" s="12">
        <f t="shared" si="0"/>
        <v>2019</v>
      </c>
      <c r="H8" s="12">
        <f t="shared" si="1"/>
        <v>1</v>
      </c>
      <c r="I8" s="21">
        <f t="shared" si="2"/>
        <v>0</v>
      </c>
      <c r="J8" s="34" t="e">
        <f t="shared" si="3"/>
        <v>#REF!</v>
      </c>
    </row>
    <row r="9" spans="1:10" x14ac:dyDescent="0.55000000000000004">
      <c r="G9" s="13">
        <f t="shared" si="0"/>
        <v>2020</v>
      </c>
      <c r="H9" s="13">
        <f t="shared" si="1"/>
        <v>1</v>
      </c>
      <c r="I9" s="21">
        <f t="shared" si="2"/>
        <v>0</v>
      </c>
      <c r="J9" s="41" t="e">
        <f t="shared" si="3"/>
        <v>#REF!</v>
      </c>
    </row>
    <row r="10" spans="1:10" x14ac:dyDescent="0.55000000000000004">
      <c r="A10" s="11" t="s">
        <v>20</v>
      </c>
      <c r="G10" s="12">
        <f t="shared" si="0"/>
        <v>2021</v>
      </c>
      <c r="H10" s="12">
        <f t="shared" si="1"/>
        <v>1</v>
      </c>
      <c r="I10" s="21">
        <f t="shared" si="2"/>
        <v>0</v>
      </c>
      <c r="J10" s="34" t="e">
        <f t="shared" si="3"/>
        <v>#REF!</v>
      </c>
    </row>
    <row r="11" spans="1:10" x14ac:dyDescent="0.55000000000000004">
      <c r="A11" s="10" t="s">
        <v>40</v>
      </c>
      <c r="B11" s="42" t="e">
        <f>NPV($B$17,J4:J29)/(1+$B$17)^(E4-B16+1)</f>
        <v>#REF!</v>
      </c>
      <c r="G11" s="13">
        <f t="shared" si="0"/>
        <v>2022</v>
      </c>
      <c r="H11" s="13">
        <f t="shared" si="1"/>
        <v>1</v>
      </c>
      <c r="I11" s="21">
        <f t="shared" si="2"/>
        <v>0</v>
      </c>
      <c r="J11" s="41" t="e">
        <f t="shared" si="3"/>
        <v>#REF!</v>
      </c>
    </row>
    <row r="12" spans="1:10" x14ac:dyDescent="0.55000000000000004">
      <c r="A12" s="10" t="s">
        <v>19</v>
      </c>
      <c r="B12" s="40" t="e">
        <f>B11/B7</f>
        <v>#REF!</v>
      </c>
      <c r="G12" s="12">
        <f t="shared" si="0"/>
        <v>2023</v>
      </c>
      <c r="H12" s="12">
        <f t="shared" si="1"/>
        <v>1</v>
      </c>
      <c r="I12" s="21">
        <f t="shared" si="2"/>
        <v>0</v>
      </c>
      <c r="J12" s="34" t="e">
        <f t="shared" si="3"/>
        <v>#REF!</v>
      </c>
    </row>
    <row r="13" spans="1:10" x14ac:dyDescent="0.55000000000000004">
      <c r="G13" s="13">
        <f t="shared" si="0"/>
        <v>2024</v>
      </c>
      <c r="H13" s="13">
        <f t="shared" si="1"/>
        <v>1</v>
      </c>
      <c r="I13" s="21">
        <f t="shared" si="2"/>
        <v>0</v>
      </c>
      <c r="J13" s="41" t="e">
        <f t="shared" si="3"/>
        <v>#REF!</v>
      </c>
    </row>
    <row r="14" spans="1:10" x14ac:dyDescent="0.55000000000000004">
      <c r="G14" s="12">
        <f>G13+1</f>
        <v>2025</v>
      </c>
      <c r="H14" s="12">
        <f t="shared" si="1"/>
        <v>1</v>
      </c>
      <c r="I14" s="21">
        <f t="shared" si="2"/>
        <v>0</v>
      </c>
      <c r="J14" s="34" t="e">
        <f t="shared" si="3"/>
        <v>#REF!</v>
      </c>
    </row>
    <row r="15" spans="1:10" x14ac:dyDescent="0.55000000000000004">
      <c r="A15" s="15" t="s">
        <v>4</v>
      </c>
      <c r="G15" s="13">
        <f t="shared" si="0"/>
        <v>2026</v>
      </c>
      <c r="H15" s="13">
        <f t="shared" si="1"/>
        <v>1</v>
      </c>
      <c r="I15" s="21">
        <f t="shared" si="2"/>
        <v>0</v>
      </c>
      <c r="J15" s="41" t="e">
        <f t="shared" si="3"/>
        <v>#REF!</v>
      </c>
    </row>
    <row r="16" spans="1:10" x14ac:dyDescent="0.55000000000000004">
      <c r="A16" s="16" t="s">
        <v>5</v>
      </c>
      <c r="B16" s="26" t="e">
        <f>'Assumed Values'!#REF!</f>
        <v>#REF!</v>
      </c>
      <c r="D16" s="15" t="s">
        <v>17</v>
      </c>
      <c r="E16" s="24" t="s">
        <v>12</v>
      </c>
      <c r="G16" s="12">
        <f t="shared" si="0"/>
        <v>2027</v>
      </c>
      <c r="H16" s="12">
        <f t="shared" si="1"/>
        <v>1</v>
      </c>
      <c r="I16" s="21">
        <f t="shared" si="2"/>
        <v>0</v>
      </c>
      <c r="J16" s="34" t="e">
        <f t="shared" si="3"/>
        <v>#REF!</v>
      </c>
    </row>
    <row r="17" spans="1:10" x14ac:dyDescent="0.55000000000000004">
      <c r="A17" s="16" t="s">
        <v>6</v>
      </c>
      <c r="B17" s="17" t="e">
        <f>'Assumed Values'!#REF!</f>
        <v>#REF!</v>
      </c>
      <c r="D17" s="19" t="s">
        <v>38</v>
      </c>
      <c r="E17" s="20">
        <f>E7/E8</f>
        <v>0</v>
      </c>
      <c r="G17" s="13">
        <f t="shared" si="0"/>
        <v>2028</v>
      </c>
      <c r="H17" s="13">
        <f t="shared" si="1"/>
        <v>1</v>
      </c>
      <c r="I17" s="21">
        <f t="shared" si="2"/>
        <v>0</v>
      </c>
      <c r="J17" s="41" t="e">
        <f t="shared" si="3"/>
        <v>#REF!</v>
      </c>
    </row>
    <row r="18" spans="1:10" x14ac:dyDescent="0.55000000000000004">
      <c r="A18" s="16" t="s">
        <v>7</v>
      </c>
      <c r="B18" s="16">
        <f>IF(B6=2,2.1, 1.1)</f>
        <v>1.1000000000000001</v>
      </c>
      <c r="G18" s="12">
        <f t="shared" si="0"/>
        <v>2029</v>
      </c>
      <c r="H18" s="12">
        <f t="shared" si="1"/>
        <v>1</v>
      </c>
      <c r="I18" s="21">
        <f t="shared" si="2"/>
        <v>0</v>
      </c>
      <c r="J18" s="34" t="e">
        <f t="shared" si="3"/>
        <v>#REF!</v>
      </c>
    </row>
    <row r="19" spans="1:10" x14ac:dyDescent="0.55000000000000004">
      <c r="A19" s="16" t="s">
        <v>11</v>
      </c>
      <c r="B19" s="18" t="e">
        <f>'Assumed Values'!#REF!</f>
        <v>#REF!</v>
      </c>
      <c r="G19" s="13">
        <f t="shared" si="0"/>
        <v>2030</v>
      </c>
      <c r="H19" s="13">
        <f t="shared" si="1"/>
        <v>1</v>
      </c>
      <c r="I19" s="21">
        <f t="shared" si="2"/>
        <v>0</v>
      </c>
      <c r="J19" s="41" t="e">
        <f t="shared" si="3"/>
        <v>#REF!</v>
      </c>
    </row>
    <row r="20" spans="1:10" x14ac:dyDescent="0.55000000000000004">
      <c r="A20" s="16" t="s">
        <v>18</v>
      </c>
      <c r="B20" s="16">
        <v>260</v>
      </c>
      <c r="G20" s="12">
        <f t="shared" si="0"/>
        <v>2031</v>
      </c>
      <c r="H20" s="12">
        <f t="shared" si="1"/>
        <v>1</v>
      </c>
      <c r="I20" s="21">
        <f t="shared" si="2"/>
        <v>0</v>
      </c>
      <c r="J20" s="34" t="e">
        <f t="shared" si="3"/>
        <v>#REF!</v>
      </c>
    </row>
    <row r="21" spans="1:10" x14ac:dyDescent="0.55000000000000004">
      <c r="G21" s="13">
        <f t="shared" si="0"/>
        <v>2032</v>
      </c>
      <c r="H21" s="13">
        <f t="shared" si="1"/>
        <v>1</v>
      </c>
      <c r="I21" s="21">
        <f t="shared" si="2"/>
        <v>0</v>
      </c>
      <c r="J21" s="41" t="e">
        <f t="shared" si="3"/>
        <v>#REF!</v>
      </c>
    </row>
    <row r="22" spans="1:10" x14ac:dyDescent="0.55000000000000004">
      <c r="G22" s="12">
        <f t="shared" si="0"/>
        <v>2033</v>
      </c>
      <c r="H22" s="12">
        <f t="shared" si="1"/>
        <v>1</v>
      </c>
      <c r="I22" s="21">
        <f t="shared" si="2"/>
        <v>0</v>
      </c>
      <c r="J22" s="34" t="e">
        <f t="shared" si="3"/>
        <v>#REF!</v>
      </c>
    </row>
    <row r="23" spans="1:10" x14ac:dyDescent="0.55000000000000004">
      <c r="G23" s="13">
        <f t="shared" si="0"/>
        <v>2034</v>
      </c>
      <c r="H23" s="13">
        <f t="shared" si="1"/>
        <v>1</v>
      </c>
      <c r="I23" s="21">
        <f t="shared" si="2"/>
        <v>0</v>
      </c>
      <c r="J23" s="41" t="e">
        <f t="shared" si="3"/>
        <v>#REF!</v>
      </c>
    </row>
    <row r="24" spans="1:10" x14ac:dyDescent="0.55000000000000004">
      <c r="G24" s="12">
        <f t="shared" si="0"/>
        <v>2035</v>
      </c>
      <c r="H24" s="12">
        <f t="shared" si="1"/>
        <v>1</v>
      </c>
      <c r="I24" s="21">
        <f t="shared" si="2"/>
        <v>0</v>
      </c>
      <c r="J24" s="34" t="e">
        <f t="shared" si="3"/>
        <v>#REF!</v>
      </c>
    </row>
    <row r="25" spans="1:10" x14ac:dyDescent="0.55000000000000004">
      <c r="G25" s="13">
        <f t="shared" si="0"/>
        <v>2036</v>
      </c>
      <c r="H25" s="13">
        <f t="shared" si="1"/>
        <v>1</v>
      </c>
      <c r="I25" s="21">
        <f t="shared" si="2"/>
        <v>0</v>
      </c>
      <c r="J25" s="41" t="e">
        <f t="shared" ref="J25:J29" si="4">I25*$B$18*$B$19/10^3</f>
        <v>#REF!</v>
      </c>
    </row>
    <row r="26" spans="1:10" x14ac:dyDescent="0.55000000000000004">
      <c r="G26" s="12">
        <f t="shared" si="0"/>
        <v>2037</v>
      </c>
      <c r="H26" s="12">
        <f t="shared" si="1"/>
        <v>1</v>
      </c>
      <c r="I26" s="21">
        <f t="shared" si="2"/>
        <v>0</v>
      </c>
      <c r="J26" s="34" t="e">
        <f t="shared" si="4"/>
        <v>#REF!</v>
      </c>
    </row>
    <row r="27" spans="1:10" x14ac:dyDescent="0.55000000000000004">
      <c r="G27" s="13">
        <f t="shared" si="0"/>
        <v>2038</v>
      </c>
      <c r="H27" s="13">
        <f t="shared" si="1"/>
        <v>1</v>
      </c>
      <c r="I27" s="21">
        <f t="shared" si="2"/>
        <v>0</v>
      </c>
      <c r="J27" s="41" t="e">
        <f t="shared" si="4"/>
        <v>#REF!</v>
      </c>
    </row>
    <row r="28" spans="1:10" x14ac:dyDescent="0.55000000000000004">
      <c r="G28" s="12">
        <f t="shared" si="0"/>
        <v>2039</v>
      </c>
      <c r="H28" s="12">
        <f t="shared" si="1"/>
        <v>1</v>
      </c>
      <c r="I28" s="21">
        <f t="shared" si="2"/>
        <v>0</v>
      </c>
      <c r="J28" s="34" t="e">
        <f t="shared" si="4"/>
        <v>#REF!</v>
      </c>
    </row>
    <row r="29" spans="1:10" x14ac:dyDescent="0.55000000000000004">
      <c r="A29" s="25"/>
      <c r="G29" s="13">
        <f t="shared" si="0"/>
        <v>2040</v>
      </c>
      <c r="H29" s="13">
        <f t="shared" si="1"/>
        <v>1</v>
      </c>
      <c r="I29" s="21">
        <f t="shared" si="2"/>
        <v>0</v>
      </c>
      <c r="J29" s="41" t="e">
        <f t="shared" si="4"/>
        <v>#REF!</v>
      </c>
    </row>
    <row r="51" spans="1:1" x14ac:dyDescent="0.55000000000000004">
      <c r="A51" t="s">
        <v>13</v>
      </c>
    </row>
    <row r="52" spans="1:1" x14ac:dyDescent="0.55000000000000004">
      <c r="A52" s="4" t="s">
        <v>15</v>
      </c>
    </row>
    <row r="53" spans="1:1" x14ac:dyDescent="0.55000000000000004">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4.4" x14ac:dyDescent="0.55000000000000004"/>
  <cols>
    <col min="1" max="1" width="54.26171875" customWidth="1"/>
    <col min="2" max="2" width="12.578125" customWidth="1"/>
    <col min="3" max="3" width="5.26171875" customWidth="1"/>
    <col min="4" max="4" width="37.41796875" bestFit="1" customWidth="1"/>
    <col min="5" max="5" width="13.26171875" customWidth="1"/>
    <col min="6" max="6" width="4.578125" customWidth="1"/>
    <col min="8" max="8" width="26.41796875" bestFit="1" customWidth="1"/>
    <col min="9" max="9" width="34.578125" bestFit="1" customWidth="1"/>
    <col min="10" max="10" width="24.15625" bestFit="1" customWidth="1"/>
    <col min="11" max="11" width="33.41796875" bestFit="1" customWidth="1"/>
  </cols>
  <sheetData>
    <row r="3" spans="1:11" x14ac:dyDescent="0.55000000000000004">
      <c r="A3" s="7" t="s">
        <v>3</v>
      </c>
      <c r="D3" s="7" t="s">
        <v>27</v>
      </c>
      <c r="E3" s="8" t="s">
        <v>12</v>
      </c>
      <c r="G3" s="14" t="s">
        <v>16</v>
      </c>
      <c r="H3" s="14" t="s">
        <v>36</v>
      </c>
      <c r="I3" s="14" t="s">
        <v>45</v>
      </c>
      <c r="J3" s="14" t="s">
        <v>35</v>
      </c>
      <c r="K3" s="14" t="s">
        <v>46</v>
      </c>
    </row>
    <row r="4" spans="1:11" x14ac:dyDescent="0.55000000000000004">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55000000000000004">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55000000000000004">
      <c r="A6" s="5" t="s">
        <v>32</v>
      </c>
      <c r="B6" s="6">
        <v>2</v>
      </c>
      <c r="D6" s="121" t="s">
        <v>29</v>
      </c>
      <c r="E6" s="122"/>
      <c r="G6" s="12">
        <f t="shared" si="2"/>
        <v>2017</v>
      </c>
      <c r="H6" s="37" t="e">
        <f t="shared" si="0"/>
        <v>#REF!</v>
      </c>
      <c r="I6" s="36" t="e">
        <f t="shared" si="3"/>
        <v>#REF!</v>
      </c>
      <c r="J6" s="37" t="e">
        <f t="shared" si="1"/>
        <v>#REF!</v>
      </c>
      <c r="K6" s="36" t="e">
        <f t="shared" si="4"/>
        <v>#REF!</v>
      </c>
    </row>
    <row r="7" spans="1:11" x14ac:dyDescent="0.55000000000000004">
      <c r="A7" s="5" t="s">
        <v>42</v>
      </c>
      <c r="B7" s="23"/>
      <c r="D7" s="5" t="s">
        <v>28</v>
      </c>
      <c r="E7" s="9"/>
      <c r="G7" s="13">
        <f t="shared" si="2"/>
        <v>2018</v>
      </c>
      <c r="H7" s="37" t="e">
        <f t="shared" si="0"/>
        <v>#REF!</v>
      </c>
      <c r="I7" s="38" t="e">
        <f t="shared" si="3"/>
        <v>#REF!</v>
      </c>
      <c r="J7" s="37" t="e">
        <f t="shared" si="1"/>
        <v>#REF!</v>
      </c>
      <c r="K7" s="38" t="e">
        <f t="shared" si="4"/>
        <v>#REF!</v>
      </c>
    </row>
    <row r="8" spans="1:11" x14ac:dyDescent="0.55000000000000004">
      <c r="A8" s="22" t="s">
        <v>43</v>
      </c>
      <c r="B8" s="23"/>
      <c r="D8" s="121" t="s">
        <v>30</v>
      </c>
      <c r="E8" s="122"/>
      <c r="G8" s="12">
        <f t="shared" si="2"/>
        <v>2019</v>
      </c>
      <c r="H8" s="37" t="e">
        <f t="shared" si="0"/>
        <v>#REF!</v>
      </c>
      <c r="I8" s="36" t="e">
        <f t="shared" si="3"/>
        <v>#REF!</v>
      </c>
      <c r="J8" s="37" t="e">
        <f t="shared" si="1"/>
        <v>#REF!</v>
      </c>
      <c r="K8" s="36" t="e">
        <f t="shared" si="4"/>
        <v>#REF!</v>
      </c>
    </row>
    <row r="9" spans="1:11" x14ac:dyDescent="0.55000000000000004">
      <c r="D9" s="5" t="s">
        <v>33</v>
      </c>
      <c r="E9" s="9"/>
      <c r="G9" s="13">
        <f t="shared" si="2"/>
        <v>2020</v>
      </c>
      <c r="H9" s="37" t="e">
        <f t="shared" si="0"/>
        <v>#REF!</v>
      </c>
      <c r="I9" s="38" t="e">
        <f t="shared" si="3"/>
        <v>#REF!</v>
      </c>
      <c r="J9" s="37" t="e">
        <f t="shared" si="1"/>
        <v>#REF!</v>
      </c>
      <c r="K9" s="38" t="e">
        <f t="shared" si="4"/>
        <v>#REF!</v>
      </c>
    </row>
    <row r="10" spans="1:11" x14ac:dyDescent="0.55000000000000004">
      <c r="A10" s="11" t="s">
        <v>20</v>
      </c>
      <c r="D10" s="5" t="s">
        <v>34</v>
      </c>
      <c r="E10" s="9"/>
      <c r="G10" s="12">
        <f t="shared" si="2"/>
        <v>2021</v>
      </c>
      <c r="H10" s="37" t="e">
        <f t="shared" si="0"/>
        <v>#REF!</v>
      </c>
      <c r="I10" s="36" t="e">
        <f t="shared" si="3"/>
        <v>#REF!</v>
      </c>
      <c r="J10" s="37" t="e">
        <f t="shared" si="1"/>
        <v>#REF!</v>
      </c>
      <c r="K10" s="36" t="e">
        <f t="shared" si="4"/>
        <v>#REF!</v>
      </c>
    </row>
    <row r="11" spans="1:11" x14ac:dyDescent="0.55000000000000004">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55000000000000004">
      <c r="A12" s="10" t="s">
        <v>19</v>
      </c>
      <c r="B12" s="40" t="e">
        <f>B11/B7</f>
        <v>#REF!</v>
      </c>
      <c r="G12" s="12">
        <f t="shared" si="2"/>
        <v>2023</v>
      </c>
      <c r="H12" s="37" t="e">
        <f t="shared" si="0"/>
        <v>#REF!</v>
      </c>
      <c r="I12" s="36" t="e">
        <f t="shared" si="3"/>
        <v>#REF!</v>
      </c>
      <c r="J12" s="37" t="e">
        <f t="shared" si="1"/>
        <v>#REF!</v>
      </c>
      <c r="K12" s="36" t="e">
        <f t="shared" si="4"/>
        <v>#REF!</v>
      </c>
    </row>
    <row r="13" spans="1:11" x14ac:dyDescent="0.55000000000000004">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55000000000000004">
      <c r="G14" s="12">
        <f>G13+1</f>
        <v>2025</v>
      </c>
      <c r="H14" s="37">
        <f t="shared" si="0"/>
        <v>0</v>
      </c>
      <c r="I14" s="36" t="e">
        <f t="shared" si="3"/>
        <v>#REF!</v>
      </c>
      <c r="J14" s="37">
        <f t="shared" si="1"/>
        <v>0</v>
      </c>
      <c r="K14" s="36" t="e">
        <f t="shared" si="4"/>
        <v>#REF!</v>
      </c>
    </row>
    <row r="15" spans="1:11" x14ac:dyDescent="0.55000000000000004">
      <c r="A15" s="15" t="s">
        <v>4</v>
      </c>
      <c r="G15" s="13">
        <f t="shared" si="2"/>
        <v>2026</v>
      </c>
      <c r="H15" s="37">
        <f t="shared" si="0"/>
        <v>0</v>
      </c>
      <c r="I15" s="38" t="e">
        <f t="shared" si="3"/>
        <v>#REF!</v>
      </c>
      <c r="J15" s="37">
        <f t="shared" si="1"/>
        <v>0</v>
      </c>
      <c r="K15" s="38" t="e">
        <f t="shared" si="4"/>
        <v>#REF!</v>
      </c>
    </row>
    <row r="16" spans="1:11" x14ac:dyDescent="0.55000000000000004">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55000000000000004">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55000000000000004">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55000000000000004">
      <c r="A19" s="16" t="s">
        <v>26</v>
      </c>
      <c r="B19" s="43" t="e">
        <f>IF($B$6=2,'Assumed Values'!#REF!,0)</f>
        <v>#REF!</v>
      </c>
      <c r="G19" s="13">
        <f t="shared" si="2"/>
        <v>2030</v>
      </c>
      <c r="H19" s="37">
        <f t="shared" si="0"/>
        <v>0</v>
      </c>
      <c r="I19" s="38" t="e">
        <f t="shared" si="3"/>
        <v>#REF!</v>
      </c>
      <c r="J19" s="37">
        <f t="shared" si="1"/>
        <v>0</v>
      </c>
      <c r="K19" s="38" t="e">
        <f t="shared" si="4"/>
        <v>#REF!</v>
      </c>
    </row>
    <row r="20" spans="1:11" x14ac:dyDescent="0.55000000000000004">
      <c r="A20" s="16" t="s">
        <v>49</v>
      </c>
      <c r="B20" s="35" t="e">
        <f>'Assumed Values'!#REF!</f>
        <v>#REF!</v>
      </c>
      <c r="G20" s="12">
        <f t="shared" si="2"/>
        <v>2031</v>
      </c>
      <c r="H20" s="37">
        <f t="shared" si="0"/>
        <v>0</v>
      </c>
      <c r="I20" s="36" t="e">
        <f t="shared" si="3"/>
        <v>#REF!</v>
      </c>
      <c r="J20" s="37">
        <f t="shared" si="1"/>
        <v>0</v>
      </c>
      <c r="K20" s="36" t="e">
        <f t="shared" si="4"/>
        <v>#REF!</v>
      </c>
    </row>
    <row r="21" spans="1:11" x14ac:dyDescent="0.55000000000000004">
      <c r="A21" s="16" t="s">
        <v>50</v>
      </c>
      <c r="B21" s="35" t="e">
        <f>'Assumed Values'!#REF!</f>
        <v>#REF!</v>
      </c>
      <c r="G21" s="13">
        <f t="shared" si="2"/>
        <v>2032</v>
      </c>
      <c r="H21" s="37">
        <f t="shared" si="0"/>
        <v>0</v>
      </c>
      <c r="I21" s="38" t="e">
        <f t="shared" si="3"/>
        <v>#REF!</v>
      </c>
      <c r="J21" s="37">
        <f t="shared" si="1"/>
        <v>0</v>
      </c>
      <c r="K21" s="38" t="e">
        <f t="shared" si="4"/>
        <v>#REF!</v>
      </c>
    </row>
    <row r="22" spans="1:11" x14ac:dyDescent="0.55000000000000004">
      <c r="A22" s="16" t="s">
        <v>18</v>
      </c>
      <c r="B22" s="16">
        <v>260</v>
      </c>
      <c r="G22" s="12">
        <f t="shared" si="2"/>
        <v>2033</v>
      </c>
      <c r="H22" s="37">
        <f t="shared" si="0"/>
        <v>0</v>
      </c>
      <c r="I22" s="36" t="e">
        <f t="shared" si="3"/>
        <v>#REF!</v>
      </c>
      <c r="J22" s="37">
        <f t="shared" si="1"/>
        <v>0</v>
      </c>
      <c r="K22" s="36" t="e">
        <f t="shared" si="4"/>
        <v>#REF!</v>
      </c>
    </row>
    <row r="23" spans="1:11" x14ac:dyDescent="0.55000000000000004">
      <c r="G23" s="13">
        <f t="shared" si="2"/>
        <v>2034</v>
      </c>
      <c r="H23" s="37">
        <f t="shared" si="0"/>
        <v>0</v>
      </c>
      <c r="I23" s="38" t="e">
        <f t="shared" si="3"/>
        <v>#REF!</v>
      </c>
      <c r="J23" s="37">
        <f t="shared" si="1"/>
        <v>0</v>
      </c>
      <c r="K23" s="38" t="e">
        <f t="shared" si="4"/>
        <v>#REF!</v>
      </c>
    </row>
    <row r="24" spans="1:11" x14ac:dyDescent="0.55000000000000004">
      <c r="G24" s="12">
        <f t="shared" si="2"/>
        <v>2035</v>
      </c>
      <c r="H24" s="37">
        <f t="shared" si="0"/>
        <v>0</v>
      </c>
      <c r="I24" s="36" t="e">
        <f t="shared" si="3"/>
        <v>#REF!</v>
      </c>
      <c r="J24" s="37">
        <f t="shared" si="1"/>
        <v>0</v>
      </c>
      <c r="K24" s="36" t="e">
        <f t="shared" si="4"/>
        <v>#REF!</v>
      </c>
    </row>
    <row r="25" spans="1:11" x14ac:dyDescent="0.55000000000000004">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55000000000000004">
      <c r="G26" s="12">
        <f t="shared" si="2"/>
        <v>2037</v>
      </c>
      <c r="H26" s="37">
        <f t="shared" si="5"/>
        <v>0</v>
      </c>
      <c r="I26" s="36" t="e">
        <f t="shared" si="6"/>
        <v>#REF!</v>
      </c>
      <c r="J26" s="37">
        <f t="shared" si="7"/>
        <v>0</v>
      </c>
      <c r="K26" s="36" t="e">
        <f t="shared" si="8"/>
        <v>#REF!</v>
      </c>
    </row>
    <row r="27" spans="1:11" x14ac:dyDescent="0.55000000000000004">
      <c r="G27" s="13">
        <f t="shared" si="2"/>
        <v>2038</v>
      </c>
      <c r="H27" s="37">
        <f t="shared" si="5"/>
        <v>0</v>
      </c>
      <c r="I27" s="38" t="e">
        <f t="shared" si="6"/>
        <v>#REF!</v>
      </c>
      <c r="J27" s="37">
        <f t="shared" si="7"/>
        <v>0</v>
      </c>
      <c r="K27" s="38" t="e">
        <f t="shared" si="8"/>
        <v>#REF!</v>
      </c>
    </row>
    <row r="28" spans="1:11" x14ac:dyDescent="0.55000000000000004">
      <c r="G28" s="12">
        <f t="shared" si="2"/>
        <v>2039</v>
      </c>
      <c r="H28" s="37">
        <f t="shared" si="5"/>
        <v>0</v>
      </c>
      <c r="I28" s="36" t="e">
        <f t="shared" si="6"/>
        <v>#REF!</v>
      </c>
      <c r="J28" s="37">
        <f t="shared" si="7"/>
        <v>0</v>
      </c>
      <c r="K28" s="36" t="e">
        <f t="shared" si="8"/>
        <v>#REF!</v>
      </c>
    </row>
    <row r="29" spans="1:11" x14ac:dyDescent="0.55000000000000004">
      <c r="G29" s="13">
        <f t="shared" si="2"/>
        <v>2040</v>
      </c>
      <c r="H29" s="37">
        <f>IF($G29&lt;($G$4+$E$5),$E$17,0)</f>
        <v>0</v>
      </c>
      <c r="I29" s="38" t="e">
        <f t="shared" si="6"/>
        <v>#REF!</v>
      </c>
      <c r="J29" s="37">
        <f>IF($G29&lt;($G$4+$E$5),$E$18,0)</f>
        <v>0</v>
      </c>
      <c r="K29" s="38" t="e">
        <f t="shared" si="8"/>
        <v>#REF!</v>
      </c>
    </row>
    <row r="31" spans="1:11" x14ac:dyDescent="0.55000000000000004">
      <c r="A31" s="25"/>
    </row>
    <row r="53" spans="1:1" x14ac:dyDescent="0.55000000000000004">
      <c r="A53" t="s">
        <v>13</v>
      </c>
    </row>
    <row r="54" spans="1:1" x14ac:dyDescent="0.55000000000000004">
      <c r="A54" s="4" t="s">
        <v>15</v>
      </c>
    </row>
    <row r="55" spans="1:1" x14ac:dyDescent="0.55000000000000004">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topLeftCell="A4" zoomScaleNormal="100" workbookViewId="0">
      <selection activeCell="B8" sqref="B8"/>
    </sheetView>
  </sheetViews>
  <sheetFormatPr defaultColWidth="9.15625" defaultRowHeight="14.4" x14ac:dyDescent="0.55000000000000004"/>
  <cols>
    <col min="1" max="1" width="57" style="99" customWidth="1"/>
    <col min="2" max="2" width="16" style="99" customWidth="1"/>
    <col min="3" max="3" width="5.26171875" style="99" customWidth="1"/>
    <col min="4" max="4" width="5.68359375" style="99" customWidth="1"/>
    <col min="5" max="16384" width="9.15625" style="99"/>
  </cols>
  <sheetData>
    <row r="3" spans="1:5" ht="18.3" x14ac:dyDescent="0.7">
      <c r="A3" s="100" t="s">
        <v>54</v>
      </c>
      <c r="B3" s="101"/>
      <c r="C3" s="101"/>
    </row>
    <row r="5" spans="1:5" ht="30" customHeight="1" x14ac:dyDescent="0.55000000000000004">
      <c r="A5" s="102" t="s">
        <v>3</v>
      </c>
    </row>
    <row r="6" spans="1:5" x14ac:dyDescent="0.55000000000000004">
      <c r="A6" s="6" t="s">
        <v>8</v>
      </c>
      <c r="B6" s="6" t="s">
        <v>129</v>
      </c>
      <c r="D6" s="6"/>
      <c r="E6" s="99" t="s">
        <v>91</v>
      </c>
    </row>
    <row r="7" spans="1:5" x14ac:dyDescent="0.55000000000000004">
      <c r="A7" s="6" t="s">
        <v>51</v>
      </c>
      <c r="B7" s="6">
        <v>101</v>
      </c>
      <c r="D7" s="98"/>
      <c r="E7" s="99" t="s">
        <v>127</v>
      </c>
    </row>
    <row r="8" spans="1:5" x14ac:dyDescent="0.55000000000000004">
      <c r="A8" s="6" t="s">
        <v>52</v>
      </c>
      <c r="B8" s="6"/>
      <c r="D8" s="103"/>
      <c r="E8" s="99" t="s">
        <v>92</v>
      </c>
    </row>
    <row r="9" spans="1:5" x14ac:dyDescent="0.55000000000000004">
      <c r="A9" s="6" t="s">
        <v>64</v>
      </c>
      <c r="B9" s="104" t="s">
        <v>67</v>
      </c>
      <c r="D9" s="105"/>
      <c r="E9" s="99" t="s">
        <v>93</v>
      </c>
    </row>
    <row r="11" spans="1:5" x14ac:dyDescent="0.55000000000000004">
      <c r="A11" s="63"/>
      <c r="B11" s="63"/>
    </row>
    <row r="12" spans="1:5" x14ac:dyDescent="0.55000000000000004">
      <c r="A12" s="102" t="s">
        <v>85</v>
      </c>
      <c r="B12" s="63"/>
    </row>
    <row r="13" spans="1:5" x14ac:dyDescent="0.55000000000000004">
      <c r="A13" s="6" t="s">
        <v>56</v>
      </c>
      <c r="B13" s="45">
        <v>2022</v>
      </c>
    </row>
    <row r="14" spans="1:5" x14ac:dyDescent="0.55000000000000004">
      <c r="A14" s="6" t="s">
        <v>86</v>
      </c>
      <c r="B14" s="6" t="s">
        <v>121</v>
      </c>
    </row>
    <row r="15" spans="1:5" x14ac:dyDescent="0.55000000000000004">
      <c r="A15" s="106" t="s">
        <v>87</v>
      </c>
      <c r="B15" s="57" t="s">
        <v>76</v>
      </c>
    </row>
    <row r="16" spans="1:5" x14ac:dyDescent="0.55000000000000004">
      <c r="A16" s="106" t="s">
        <v>88</v>
      </c>
      <c r="B16" s="57">
        <v>1.2</v>
      </c>
    </row>
    <row r="17" spans="1:3" x14ac:dyDescent="0.55000000000000004">
      <c r="A17" s="107" t="s">
        <v>95</v>
      </c>
      <c r="B17" s="57">
        <v>32</v>
      </c>
    </row>
    <row r="18" spans="1:3" x14ac:dyDescent="0.55000000000000004">
      <c r="A18" s="107" t="s">
        <v>96</v>
      </c>
      <c r="B18" s="57">
        <v>36</v>
      </c>
    </row>
    <row r="19" spans="1:3" x14ac:dyDescent="0.55000000000000004">
      <c r="A19" s="96" t="s">
        <v>97</v>
      </c>
      <c r="B19" s="97">
        <f>VLOOKUP(B14,'Service Life'!C6:D8,2,FALSE)</f>
        <v>20</v>
      </c>
    </row>
    <row r="21" spans="1:3" x14ac:dyDescent="0.55000000000000004">
      <c r="A21" s="102" t="s">
        <v>89</v>
      </c>
    </row>
    <row r="22" spans="1:3" ht="20.25" customHeight="1" x14ac:dyDescent="0.55000000000000004">
      <c r="A22" s="107" t="s">
        <v>90</v>
      </c>
      <c r="B22" s="119">
        <v>1480</v>
      </c>
    </row>
    <row r="23" spans="1:3" ht="28.8" x14ac:dyDescent="0.55000000000000004">
      <c r="A23" s="118" t="s">
        <v>101</v>
      </c>
      <c r="B23" s="120">
        <v>6409</v>
      </c>
    </row>
    <row r="24" spans="1:3" ht="28.8" x14ac:dyDescent="0.55000000000000004">
      <c r="A24" s="118" t="s">
        <v>102</v>
      </c>
      <c r="B24" s="120">
        <v>8100</v>
      </c>
    </row>
    <row r="27" spans="1:3" ht="18.3" x14ac:dyDescent="0.7">
      <c r="A27" s="100" t="s">
        <v>55</v>
      </c>
      <c r="B27" s="101"/>
    </row>
    <row r="29" spans="1:3" x14ac:dyDescent="0.55000000000000004">
      <c r="A29" s="108" t="s">
        <v>53</v>
      </c>
    </row>
    <row r="30" spans="1:3" x14ac:dyDescent="0.55000000000000004">
      <c r="A30" s="105" t="s">
        <v>112</v>
      </c>
      <c r="B30" s="114">
        <f>'Benefit Calculations'!M37</f>
        <v>246.96051069399385</v>
      </c>
    </row>
    <row r="31" spans="1:3" x14ac:dyDescent="0.55000000000000004">
      <c r="A31" s="105" t="s">
        <v>113</v>
      </c>
      <c r="B31" s="114">
        <f>'Benefit Calculations'!Q37</f>
        <v>43.258590440854896</v>
      </c>
      <c r="C31" s="109"/>
    </row>
    <row r="32" spans="1:3" x14ac:dyDescent="0.55000000000000004">
      <c r="A32" s="110"/>
      <c r="B32" s="111"/>
      <c r="C32" s="109"/>
    </row>
    <row r="33" spans="1:9" x14ac:dyDescent="0.55000000000000004">
      <c r="A33" s="108" t="s">
        <v>94</v>
      </c>
      <c r="B33" s="111"/>
      <c r="C33" s="109"/>
    </row>
    <row r="34" spans="1:9" x14ac:dyDescent="0.55000000000000004">
      <c r="A34" s="105" t="s">
        <v>114</v>
      </c>
      <c r="B34" s="114">
        <f>$B$30+$B$31</f>
        <v>290.21910113484876</v>
      </c>
      <c r="C34" s="109"/>
    </row>
    <row r="35" spans="1:9" x14ac:dyDescent="0.55000000000000004">
      <c r="I35" s="112"/>
    </row>
    <row r="36" spans="1:9" x14ac:dyDescent="0.55000000000000004">
      <c r="A36" s="108" t="s">
        <v>107</v>
      </c>
    </row>
    <row r="37" spans="1:9" x14ac:dyDescent="0.55000000000000004">
      <c r="A37" s="105" t="s">
        <v>116</v>
      </c>
      <c r="B37" s="115">
        <f>'Benefit Calculations'!K37</f>
        <v>8.031908368664438E-2</v>
      </c>
    </row>
    <row r="38" spans="1:9" x14ac:dyDescent="0.55000000000000004">
      <c r="A38" s="105" t="s">
        <v>117</v>
      </c>
      <c r="B38" s="115">
        <f>'Benefit Calculations'!O37</f>
        <v>5.544889280735648E-2</v>
      </c>
    </row>
    <row r="40" spans="1:9" x14ac:dyDescent="0.55000000000000004">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96"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D39" sqref="D39"/>
    </sheetView>
  </sheetViews>
  <sheetFormatPr defaultRowHeight="14.4" x14ac:dyDescent="0.55000000000000004"/>
  <cols>
    <col min="1" max="1" width="5.68359375" style="49" customWidth="1"/>
    <col min="2" max="2" width="29" style="49" customWidth="1"/>
    <col min="3" max="3" width="15" style="49" customWidth="1"/>
    <col min="4" max="4" width="15.68359375" style="49" customWidth="1"/>
    <col min="5" max="5" width="3.26171875" customWidth="1"/>
    <col min="6" max="6" width="15.68359375" style="1" bestFit="1" customWidth="1"/>
    <col min="7" max="7" width="12.26171875" style="1" customWidth="1"/>
    <col min="8" max="8" width="15.68359375" style="1" customWidth="1"/>
    <col min="9" max="9" width="7.578125" style="1" customWidth="1"/>
    <col min="10" max="10" width="14.41796875" style="47" customWidth="1"/>
    <col min="11" max="11" width="14.26171875" customWidth="1"/>
    <col min="12" max="12" width="16.26171875" customWidth="1"/>
    <col min="13" max="13" width="20.68359375" customWidth="1"/>
    <col min="14" max="15" width="14.41796875" customWidth="1"/>
    <col min="16" max="16" width="16.26171875" customWidth="1"/>
    <col min="17" max="17" width="20.68359375" customWidth="1"/>
    <col min="21" max="21" width="11.83984375" bestFit="1" customWidth="1"/>
  </cols>
  <sheetData>
    <row r="2" spans="2:21" x14ac:dyDescent="0.55000000000000004">
      <c r="F2" t="s">
        <v>60</v>
      </c>
      <c r="G2" s="49"/>
      <c r="H2" s="49"/>
      <c r="I2"/>
      <c r="J2" s="49"/>
      <c r="K2" s="1"/>
      <c r="L2" s="46"/>
    </row>
    <row r="3" spans="2:21" ht="41.5" customHeight="1" x14ac:dyDescent="0.55000000000000004">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55000000000000004">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6.1861101537899997E-2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1.42219997942E-2</v>
      </c>
      <c r="F4" s="70">
        <v>2018</v>
      </c>
      <c r="G4" s="80">
        <f>'Inputs &amp; Outputs'!B22</f>
        <v>1480</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55000000000000004">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6.0070000588899997E-2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1.2985499575700001E-2</v>
      </c>
      <c r="F5" s="70">
        <f t="shared" ref="F5:F36" si="2">F4+1</f>
        <v>2019</v>
      </c>
      <c r="G5" s="80">
        <f>G4+G4*H5</f>
        <v>1824.7121602207953</v>
      </c>
      <c r="H5" s="79">
        <f>$C$9</f>
        <v>0.23291362177080766</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55000000000000004">
      <c r="F6" s="70">
        <f t="shared" si="2"/>
        <v>2020</v>
      </c>
      <c r="G6" s="80">
        <f t="shared" ref="G6:G36" si="6">G5+G5*H6</f>
        <v>2249.7124781470552</v>
      </c>
      <c r="H6" s="79">
        <f t="shared" ref="H6:H11" si="7">$C$9</f>
        <v>0.23291362177080766</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55000000000000004">
      <c r="F7" s="70">
        <f t="shared" si="2"/>
        <v>2021</v>
      </c>
      <c r="G7" s="80">
        <f t="shared" si="6"/>
        <v>2773.701159375265</v>
      </c>
      <c r="H7" s="79">
        <f t="shared" si="7"/>
        <v>0.23291362177080766</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55000000000000004">
      <c r="B8" s="15" t="s">
        <v>17</v>
      </c>
      <c r="F8" s="70">
        <f t="shared" si="2"/>
        <v>2022</v>
      </c>
      <c r="G8" s="80">
        <f t="shared" si="6"/>
        <v>3419.733942115246</v>
      </c>
      <c r="H8" s="79">
        <f t="shared" si="7"/>
        <v>0.23291362177080766</v>
      </c>
      <c r="I8" s="70">
        <f>IF(AND(F8&gt;='Inputs &amp; Outputs'!B$13,F8&lt;'Inputs &amp; Outputs'!B$13+'Inputs &amp; Outputs'!B$19),1,0)</f>
        <v>1</v>
      </c>
      <c r="J8" s="71">
        <f>I8*'Inputs &amp; Outputs'!B$16*'Benefit Calculations'!G8*('Benefit Calculations'!C$4-'Benefit Calculations'!C$5)</f>
        <v>7.3501064508601557</v>
      </c>
      <c r="K8" s="89">
        <f t="shared" si="3"/>
        <v>2.1065491424271596E-3</v>
      </c>
      <c r="L8" s="72">
        <f>K8*'Assumed Values'!$C$8</f>
        <v>15.815970961343114</v>
      </c>
      <c r="M8" s="73">
        <f t="shared" si="0"/>
        <v>12.065928520291356</v>
      </c>
      <c r="N8" s="88">
        <f>I8*'Inputs &amp; Outputs'!B$16*'Benefit Calculations'!G8*('Benefit Calculations'!D$4-'Benefit Calculations'!D$5)</f>
        <v>5.0742021199648386</v>
      </c>
      <c r="O8" s="89">
        <f t="shared" si="4"/>
        <v>1.4542722878609609E-3</v>
      </c>
      <c r="P8" s="72">
        <f>ABS(O8*'Assumed Values'!$C$7)</f>
        <v>2.7703887083751306</v>
      </c>
      <c r="Q8" s="73">
        <f t="shared" si="1"/>
        <v>2.1135162811299146</v>
      </c>
      <c r="T8" s="85">
        <f t="shared" si="5"/>
        <v>1.9110276772236405E-3</v>
      </c>
      <c r="U8" s="86">
        <f>T8*'Assumed Values'!$D$8</f>
        <v>0</v>
      </c>
    </row>
    <row r="9" spans="2:21" x14ac:dyDescent="0.55000000000000004">
      <c r="B9" s="16" t="s">
        <v>104</v>
      </c>
      <c r="C9" s="67">
        <f>('Inputs &amp; Outputs'!B23/'Inputs &amp; Outputs'!B22)^(1/(2025-2018))-1</f>
        <v>0.23291362177080766</v>
      </c>
      <c r="F9" s="70">
        <f t="shared" si="2"/>
        <v>2023</v>
      </c>
      <c r="G9" s="80">
        <f t="shared" si="6"/>
        <v>4216.2365600658695</v>
      </c>
      <c r="H9" s="79">
        <f t="shared" si="7"/>
        <v>0.23291362177080766</v>
      </c>
      <c r="I9" s="70">
        <f>IF(AND(F9&gt;='Inputs &amp; Outputs'!B$13,F9&lt;'Inputs &amp; Outputs'!B$13+'Inputs &amp; Outputs'!B$19),1,0)</f>
        <v>1</v>
      </c>
      <c r="J9" s="71">
        <f>I9*'Inputs &amp; Outputs'!B$16*'Benefit Calculations'!G9*('Benefit Calculations'!C$4-'Benefit Calculations'!C$5)</f>
        <v>9.0620463647309712</v>
      </c>
      <c r="K9" s="89">
        <f t="shared" si="3"/>
        <v>2.5971931326280585E-3</v>
      </c>
      <c r="L9" s="72">
        <f>K9*'Assumed Values'!$C$8</f>
        <v>19.499726039771463</v>
      </c>
      <c r="M9" s="73">
        <f t="shared" si="0"/>
        <v>13.903035170074858</v>
      </c>
      <c r="N9" s="88">
        <f>I9*'Inputs &amp; Outputs'!B$16*'Benefit Calculations'!G9*('Benefit Calculations'!D$4-'Benefit Calculations'!D$5)</f>
        <v>6.2560529133229581</v>
      </c>
      <c r="O9" s="89">
        <f t="shared" si="4"/>
        <v>1.7929921134675756E-3</v>
      </c>
      <c r="P9" s="72">
        <f>ABS(O9*'Assumed Values'!$C$7)</f>
        <v>3.4156499761557315</v>
      </c>
      <c r="Q9" s="73">
        <f t="shared" si="1"/>
        <v>2.4353112269527579</v>
      </c>
      <c r="T9" s="85">
        <f t="shared" si="5"/>
        <v>2.3561320548300523E-3</v>
      </c>
      <c r="U9" s="86">
        <f>T9*'Assumed Values'!$D$8</f>
        <v>0</v>
      </c>
    </row>
    <row r="10" spans="2:21" x14ac:dyDescent="0.55000000000000004">
      <c r="B10" s="16" t="s">
        <v>105</v>
      </c>
      <c r="C10" s="67">
        <f>('Inputs &amp; Outputs'!B24/'Inputs &amp; Outputs'!B23)^(1/(2045-2020))-1</f>
        <v>9.4104346681178619E-3</v>
      </c>
      <c r="F10" s="70">
        <f t="shared" si="2"/>
        <v>2024</v>
      </c>
      <c r="G10" s="80">
        <f t="shared" si="6"/>
        <v>5198.2554875133028</v>
      </c>
      <c r="H10" s="79">
        <f t="shared" si="7"/>
        <v>0.23291362177080766</v>
      </c>
      <c r="I10" s="70">
        <f>IF(AND(F10&gt;='Inputs &amp; Outputs'!B$13,F10&lt;'Inputs &amp; Outputs'!B$13+'Inputs &amp; Outputs'!B$19),1,0)</f>
        <v>1</v>
      </c>
      <c r="J10" s="71">
        <f>I10*'Inputs &amp; Outputs'!B$16*'Benefit Calculations'!G10*('Benefit Calculations'!C$4-'Benefit Calculations'!C$5)</f>
        <v>11.172720404195443</v>
      </c>
      <c r="K10" s="89">
        <f t="shared" si="3"/>
        <v>3.2021147915867292E-3</v>
      </c>
      <c r="L10" s="72">
        <f>K10*'Assumed Values'!$C$8</f>
        <v>24.041477855233161</v>
      </c>
      <c r="M10" s="73">
        <f t="shared" si="0"/>
        <v>16.019851817891507</v>
      </c>
      <c r="N10" s="88">
        <f>I10*'Inputs &amp; Outputs'!B$16*'Benefit Calculations'!G10*('Benefit Calculations'!D$4-'Benefit Calculations'!D$5)</f>
        <v>7.7131728553548218</v>
      </c>
      <c r="O10" s="89">
        <f t="shared" si="4"/>
        <v>2.2106044004218039E-3</v>
      </c>
      <c r="P10" s="72">
        <f>ABS(O10*'Assumed Values'!$C$7)</f>
        <v>4.2112013828035364</v>
      </c>
      <c r="Q10" s="73">
        <f t="shared" si="1"/>
        <v>2.8061012943564809</v>
      </c>
      <c r="T10" s="85">
        <f t="shared" si="5"/>
        <v>2.904907305090815E-3</v>
      </c>
      <c r="U10" s="86">
        <f>T10*'Assumed Values'!$D$8</f>
        <v>0</v>
      </c>
    </row>
    <row r="11" spans="2:21" x14ac:dyDescent="0.55000000000000004">
      <c r="B11" s="16" t="s">
        <v>106</v>
      </c>
      <c r="C11" s="67">
        <f>('Inputs &amp; Outputs'!B24/'Inputs &amp; Outputs'!B22)^(1/(2045-2018))-1</f>
        <v>6.4980372489024996E-2</v>
      </c>
      <c r="F11" s="70">
        <f t="shared" si="2"/>
        <v>2025</v>
      </c>
      <c r="G11" s="80">
        <f>'Inputs &amp; Outputs'!$B$23</f>
        <v>6409</v>
      </c>
      <c r="H11" s="79">
        <f t="shared" si="7"/>
        <v>0.23291362177080766</v>
      </c>
      <c r="I11" s="70">
        <f>IF(AND(F11&gt;='Inputs &amp; Outputs'!B$13,F11&lt;'Inputs &amp; Outputs'!B$13+'Inputs &amp; Outputs'!B$19),1,0)</f>
        <v>1</v>
      </c>
      <c r="J11" s="71">
        <f>I11*'Inputs &amp; Outputs'!B$16*'Benefit Calculations'!G11*('Benefit Calculations'!C$4-'Benefit Calculations'!C$5)</f>
        <v>13.774999178569201</v>
      </c>
      <c r="K11" s="89">
        <f t="shared" si="3"/>
        <v>3.947930945021068E-3</v>
      </c>
      <c r="L11" s="72">
        <f>K11*'Assumed Values'!$C$8</f>
        <v>29.641065535218178</v>
      </c>
      <c r="M11" s="73">
        <f t="shared" si="0"/>
        <v>18.458965911241371</v>
      </c>
      <c r="N11" s="88">
        <f>I11*'Inputs &amp; Outputs'!B$16*'Benefit Calculations'!G11*('Benefit Calculations'!D$4-'Benefit Calculations'!D$5)</f>
        <v>9.5096758804397918</v>
      </c>
      <c r="O11" s="89">
        <f t="shared" si="4"/>
        <v>2.7254842776265296E-3</v>
      </c>
      <c r="P11" s="72">
        <f>ABS(O11*'Assumed Values'!$C$7)</f>
        <v>5.1920475488785387</v>
      </c>
      <c r="Q11" s="73">
        <f t="shared" si="1"/>
        <v>3.2333462709166341</v>
      </c>
      <c r="T11" s="85">
        <f t="shared" si="5"/>
        <v>3.5814997864279923E-3</v>
      </c>
      <c r="U11" s="86">
        <f>T11*'Assumed Values'!$D$8</f>
        <v>0</v>
      </c>
    </row>
    <row r="12" spans="2:21" x14ac:dyDescent="0.55000000000000004">
      <c r="B12" s="27"/>
      <c r="C12" s="68"/>
      <c r="F12" s="70">
        <f t="shared" si="2"/>
        <v>2026</v>
      </c>
      <c r="G12" s="80">
        <f t="shared" si="6"/>
        <v>6469.3114757879675</v>
      </c>
      <c r="H12" s="79">
        <f>$C$10</f>
        <v>9.4104346681178619E-3</v>
      </c>
      <c r="I12" s="70">
        <f>IF(AND(F12&gt;='Inputs &amp; Outputs'!B$13,F12&lt;'Inputs &amp; Outputs'!B$13+'Inputs &amp; Outputs'!B$19),1,0)</f>
        <v>1</v>
      </c>
      <c r="J12" s="71">
        <f>I12*'Inputs &amp; Outputs'!B$16*'Benefit Calculations'!G12*('Benefit Calculations'!C$4-'Benefit Calculations'!C$5)</f>
        <v>13.904627908392506</v>
      </c>
      <c r="K12" s="89">
        <f t="shared" si="3"/>
        <v>3.9850826912534295E-3</v>
      </c>
      <c r="L12" s="72">
        <f>K12*'Assumed Values'!$C$8</f>
        <v>29.920000845930748</v>
      </c>
      <c r="M12" s="73">
        <f t="shared" si="0"/>
        <v>17.413712900925347</v>
      </c>
      <c r="N12" s="88">
        <f>I12*'Inputs &amp; Outputs'!B$16*'Benefit Calculations'!G12*('Benefit Calculations'!D$4-'Benefit Calculations'!D$5)</f>
        <v>9.5991660640276475</v>
      </c>
      <c r="O12" s="89">
        <f t="shared" si="4"/>
        <v>2.751132269360117E-3</v>
      </c>
      <c r="P12" s="72">
        <f>ABS(O12*'Assumed Values'!$C$7)</f>
        <v>5.2409069731310227</v>
      </c>
      <c r="Q12" s="73">
        <f t="shared" si="1"/>
        <v>3.0502555745406523</v>
      </c>
      <c r="T12" s="85">
        <f t="shared" si="5"/>
        <v>3.6152032561820517E-3</v>
      </c>
      <c r="U12" s="86">
        <f>T12*'Assumed Values'!$D$8</f>
        <v>0</v>
      </c>
    </row>
    <row r="13" spans="2:21" x14ac:dyDescent="0.55000000000000004">
      <c r="B13" s="27"/>
      <c r="C13" s="68"/>
      <c r="F13" s="70">
        <f t="shared" si="2"/>
        <v>2027</v>
      </c>
      <c r="G13" s="80">
        <f t="shared" si="6"/>
        <v>6530.1905087785753</v>
      </c>
      <c r="H13" s="79">
        <f t="shared" ref="H13:H36" si="8">$C$10</f>
        <v>9.4104346681178619E-3</v>
      </c>
      <c r="I13" s="70">
        <f>IF(AND(F13&gt;='Inputs &amp; Outputs'!B$13,F13&lt;'Inputs &amp; Outputs'!B$13+'Inputs &amp; Outputs'!B$19),1,0)</f>
        <v>1</v>
      </c>
      <c r="J13" s="71">
        <f>I13*'Inputs &amp; Outputs'!B$16*'Benefit Calculations'!G13*('Benefit Calculations'!C$4-'Benefit Calculations'!C$5)</f>
        <v>14.035476500908922</v>
      </c>
      <c r="K13" s="89">
        <f t="shared" si="3"/>
        <v>4.0225840515665176E-3</v>
      </c>
      <c r="L13" s="72">
        <f>K13*'Assumed Values'!$C$8</f>
        <v>30.201561059161413</v>
      </c>
      <c r="M13" s="73">
        <f t="shared" si="0"/>
        <v>16.427648138793334</v>
      </c>
      <c r="N13" s="88">
        <f>I13*'Inputs &amp; Outputs'!B$16*'Benefit Calculations'!G13*('Benefit Calculations'!D$4-'Benefit Calculations'!D$5)</f>
        <v>9.689498389141594</v>
      </c>
      <c r="O13" s="89">
        <f t="shared" si="4"/>
        <v>2.7770216198442811E-3</v>
      </c>
      <c r="P13" s="72">
        <f>ABS(O13*'Assumed Values'!$C$7)</f>
        <v>5.2902261858033555</v>
      </c>
      <c r="Q13" s="73">
        <f t="shared" si="1"/>
        <v>2.8775325283606814</v>
      </c>
      <c r="T13" s="85">
        <f t="shared" si="5"/>
        <v>3.6492238902363196E-3</v>
      </c>
      <c r="U13" s="86">
        <f>T13*'Assumed Values'!$D$8</f>
        <v>0</v>
      </c>
    </row>
    <row r="14" spans="2:21" x14ac:dyDescent="0.55000000000000004">
      <c r="B14" s="27"/>
      <c r="C14" s="68"/>
      <c r="F14" s="70">
        <f t="shared" si="2"/>
        <v>2028</v>
      </c>
      <c r="G14" s="80">
        <f t="shared" si="6"/>
        <v>6591.6424399317993</v>
      </c>
      <c r="H14" s="79">
        <f t="shared" si="8"/>
        <v>9.4104346681178619E-3</v>
      </c>
      <c r="I14" s="70">
        <f>IF(AND(F14&gt;='Inputs &amp; Outputs'!B$13,F14&lt;'Inputs &amp; Outputs'!B$13+'Inputs &amp; Outputs'!B$19),1,0)</f>
        <v>1</v>
      </c>
      <c r="J14" s="71">
        <f>I14*'Inputs &amp; Outputs'!B$16*'Benefit Calculations'!G14*('Benefit Calculations'!C$4-'Benefit Calculations'!C$5)</f>
        <v>14.167556435556628</v>
      </c>
      <c r="K14" s="89">
        <f t="shared" si="3"/>
        <v>4.0604383159807975E-3</v>
      </c>
      <c r="L14" s="72">
        <f>K14*'Assumed Values'!$C$8</f>
        <v>30.485770876383828</v>
      </c>
      <c r="M14" s="73">
        <f t="shared" si="0"/>
        <v>15.497420045190914</v>
      </c>
      <c r="N14" s="88">
        <f>I14*'Inputs &amp; Outputs'!B$16*'Benefit Calculations'!G14*('Benefit Calculations'!D$4-'Benefit Calculations'!D$5)</f>
        <v>9.7806807806994431</v>
      </c>
      <c r="O14" s="89">
        <f t="shared" si="4"/>
        <v>2.8031546003697764E-3</v>
      </c>
      <c r="P14" s="72">
        <f>ABS(O14*'Assumed Values'!$C$7)</f>
        <v>5.3400095137044241</v>
      </c>
      <c r="Q14" s="73">
        <f t="shared" si="1"/>
        <v>2.7145900562843028</v>
      </c>
      <c r="T14" s="85">
        <f t="shared" si="5"/>
        <v>3.6835646732447237E-3</v>
      </c>
      <c r="U14" s="86">
        <f>T14*'Assumed Values'!$D$8</f>
        <v>0</v>
      </c>
    </row>
    <row r="15" spans="2:21" x14ac:dyDescent="0.55000000000000004">
      <c r="B15" s="27"/>
      <c r="C15" s="69"/>
      <c r="F15" s="70">
        <f t="shared" si="2"/>
        <v>2029</v>
      </c>
      <c r="G15" s="80">
        <f t="shared" si="6"/>
        <v>6653.6726604683709</v>
      </c>
      <c r="H15" s="79">
        <f t="shared" si="8"/>
        <v>9.4104346681178619E-3</v>
      </c>
      <c r="I15" s="70">
        <f>IF(AND(F15&gt;='Inputs &amp; Outputs'!B$13,F15&lt;'Inputs &amp; Outputs'!B$13+'Inputs &amp; Outputs'!B$19),1,0)</f>
        <v>1</v>
      </c>
      <c r="J15" s="71">
        <f>I15*'Inputs &amp; Outputs'!B$16*'Benefit Calculations'!G15*('Benefit Calculations'!C$4-'Benefit Calculations'!C$5)</f>
        <v>14.300879299800307</v>
      </c>
      <c r="K15" s="89">
        <f t="shared" si="3"/>
        <v>4.0986488054772568E-3</v>
      </c>
      <c r="L15" s="72">
        <f>K15*'Assumed Values'!$C$8</f>
        <v>30.772655231523245</v>
      </c>
      <c r="M15" s="73">
        <f t="shared" si="0"/>
        <v>14.619866826215477</v>
      </c>
      <c r="N15" s="88">
        <f>I15*'Inputs &amp; Outputs'!B$16*'Benefit Calculations'!G15*('Benefit Calculations'!D$4-'Benefit Calculations'!D$5)</f>
        <v>9.8727212381959326</v>
      </c>
      <c r="O15" s="89">
        <f t="shared" si="4"/>
        <v>2.8295335036011907E-3</v>
      </c>
      <c r="P15" s="72">
        <f>ABS(O15*'Assumed Values'!$C$7)</f>
        <v>5.3902613243602682</v>
      </c>
      <c r="Q15" s="73">
        <f t="shared" si="1"/>
        <v>2.5608743258501763</v>
      </c>
      <c r="T15" s="85">
        <f t="shared" si="5"/>
        <v>3.7182286179480799E-3</v>
      </c>
      <c r="U15" s="86">
        <f>T15*'Assumed Values'!$D$8</f>
        <v>0</v>
      </c>
    </row>
    <row r="16" spans="2:21" x14ac:dyDescent="0.55000000000000004">
      <c r="B16" s="27"/>
      <c r="C16" s="69"/>
      <c r="F16" s="70">
        <f t="shared" si="2"/>
        <v>2030</v>
      </c>
      <c r="G16" s="80">
        <f t="shared" si="6"/>
        <v>6716.2866123427502</v>
      </c>
      <c r="H16" s="79">
        <f t="shared" si="8"/>
        <v>9.4104346681178619E-3</v>
      </c>
      <c r="I16" s="70">
        <f>IF(AND(F16&gt;='Inputs &amp; Outputs'!B$13,F16&lt;'Inputs &amp; Outputs'!B$13+'Inputs &amp; Outputs'!B$19),1,0)</f>
        <v>1</v>
      </c>
      <c r="J16" s="71">
        <f>I16*'Inputs &amp; Outputs'!B$16*'Benefit Calculations'!G16*('Benefit Calculations'!C$4-'Benefit Calculations'!C$5)</f>
        <v>14.435456790147716</v>
      </c>
      <c r="K16" s="89">
        <f t="shared" si="3"/>
        <v>4.1372188722887601E-3</v>
      </c>
      <c r="L16" s="72">
        <f>K16*'Assumed Values'!$C$8</f>
        <v>31.06223929314401</v>
      </c>
      <c r="M16" s="73">
        <f t="shared" si="0"/>
        <v>13.792005726953425</v>
      </c>
      <c r="N16" s="88">
        <f>I16*'Inputs &amp; Outputs'!B$16*'Benefit Calculations'!G16*('Benefit Calculations'!D$4-'Benefit Calculations'!D$5)</f>
        <v>9.965627836404515</v>
      </c>
      <c r="O16" s="89">
        <f t="shared" si="4"/>
        <v>2.8561606437780798E-3</v>
      </c>
      <c r="P16" s="72">
        <f>ABS(O16*'Assumed Values'!$C$7)</f>
        <v>5.4409860263972423</v>
      </c>
      <c r="Q16" s="73">
        <f t="shared" si="1"/>
        <v>2.4158628657821026</v>
      </c>
      <c r="T16" s="85">
        <f t="shared" si="5"/>
        <v>3.7532187654384062E-3</v>
      </c>
      <c r="U16" s="86">
        <f>T16*'Assumed Values'!$D$8</f>
        <v>0</v>
      </c>
    </row>
    <row r="17" spans="2:21" x14ac:dyDescent="0.55000000000000004">
      <c r="B17" s="27"/>
      <c r="C17" s="69"/>
      <c r="F17" s="70">
        <f t="shared" si="2"/>
        <v>2031</v>
      </c>
      <c r="G17" s="80">
        <f t="shared" si="6"/>
        <v>6779.4897887205561</v>
      </c>
      <c r="H17" s="79">
        <f t="shared" si="8"/>
        <v>9.4104346681178619E-3</v>
      </c>
      <c r="I17" s="70">
        <f>IF(AND(F17&gt;='Inputs &amp; Outputs'!B$13,F17&lt;'Inputs &amp; Outputs'!B$13+'Inputs &amp; Outputs'!B$19),1,0)</f>
        <v>1</v>
      </c>
      <c r="J17" s="71">
        <f>I17*'Inputs &amp; Outputs'!B$16*'Benefit Calculations'!G17*('Benefit Calculations'!C$4-'Benefit Calculations'!C$5)</f>
        <v>14.571300713175839</v>
      </c>
      <c r="K17" s="89">
        <f t="shared" si="3"/>
        <v>4.1761519001941375E-3</v>
      </c>
      <c r="L17" s="72">
        <f>K17*'Assumed Values'!$C$8</f>
        <v>31.354548466657583</v>
      </c>
      <c r="M17" s="73">
        <f t="shared" si="0"/>
        <v>13.011022893260957</v>
      </c>
      <c r="N17" s="88">
        <f>I17*'Inputs &amp; Outputs'!B$16*'Benefit Calculations'!G17*('Benefit Calculations'!D$4-'Benefit Calculations'!D$5)</f>
        <v>10.059408726085776</v>
      </c>
      <c r="O17" s="89">
        <f t="shared" si="4"/>
        <v>2.8830383569180031E-3</v>
      </c>
      <c r="P17" s="72">
        <f>ABS(O17*'Assumed Values'!$C$7)</f>
        <v>5.4921880699287957</v>
      </c>
      <c r="Q17" s="73">
        <f t="shared" si="1"/>
        <v>2.2790627901380156</v>
      </c>
      <c r="T17" s="85">
        <f t="shared" si="5"/>
        <v>3.7885381854257179E-3</v>
      </c>
      <c r="U17" s="86">
        <f>T17*'Assumed Values'!$D$8</f>
        <v>0</v>
      </c>
    </row>
    <row r="18" spans="2:21" x14ac:dyDescent="0.55000000000000004">
      <c r="F18" s="70">
        <f t="shared" si="2"/>
        <v>2032</v>
      </c>
      <c r="G18" s="80">
        <f t="shared" si="6"/>
        <v>6843.2877344604831</v>
      </c>
      <c r="H18" s="79">
        <f t="shared" si="8"/>
        <v>9.4104346681178619E-3</v>
      </c>
      <c r="I18" s="70">
        <f>IF(AND(F18&gt;='Inputs &amp; Outputs'!B$13,F18&lt;'Inputs &amp; Outputs'!B$13+'Inputs &amp; Outputs'!B$19),1,0)</f>
        <v>1</v>
      </c>
      <c r="J18" s="71">
        <f>I18*'Inputs &amp; Outputs'!B$16*'Benefit Calculations'!G18*('Benefit Calculations'!C$4-'Benefit Calculations'!C$5)</f>
        <v>14.70842298656668</v>
      </c>
      <c r="K18" s="89">
        <f t="shared" si="3"/>
        <v>4.2154513048150502E-3</v>
      </c>
      <c r="L18" s="72">
        <f>K18*'Assumed Values'!$C$8</f>
        <v>31.649608396551397</v>
      </c>
      <c r="M18" s="73">
        <f t="shared" si="0"/>
        <v>12.274263807629323</v>
      </c>
      <c r="N18" s="88">
        <f>I18*'Inputs &amp; Outputs'!B$16*'Benefit Calculations'!G18*('Benefit Calculations'!D$4-'Benefit Calculations'!D$5)</f>
        <v>10.154072134702499</v>
      </c>
      <c r="O18" s="89">
        <f t="shared" si="4"/>
        <v>2.9101690010214574E-3</v>
      </c>
      <c r="P18" s="72">
        <f>ABS(O18*'Assumed Values'!$C$7)</f>
        <v>5.5438719469458766</v>
      </c>
      <c r="Q18" s="73">
        <f t="shared" si="1"/>
        <v>2.1500091230178953</v>
      </c>
      <c r="T18" s="85">
        <f t="shared" si="5"/>
        <v>3.8241899765073368E-3</v>
      </c>
      <c r="U18" s="86">
        <f>T18*'Assumed Values'!$D$8</f>
        <v>0</v>
      </c>
    </row>
    <row r="19" spans="2:21" x14ac:dyDescent="0.55000000000000004">
      <c r="F19" s="70">
        <f t="shared" si="2"/>
        <v>2033</v>
      </c>
      <c r="G19" s="80">
        <f t="shared" si="6"/>
        <v>6907.6860466007556</v>
      </c>
      <c r="H19" s="79">
        <f t="shared" si="8"/>
        <v>9.4104346681178619E-3</v>
      </c>
      <c r="I19" s="70">
        <f>IF(AND(F19&gt;='Inputs &amp; Outputs'!B$13,F19&lt;'Inputs &amp; Outputs'!B$13+'Inputs &amp; Outputs'!B$19),1,0)</f>
        <v>1</v>
      </c>
      <c r="J19" s="71">
        <f>I19*'Inputs &amp; Outputs'!B$16*'Benefit Calculations'!G19*('Benefit Calculations'!C$4-'Benefit Calculations'!C$5)</f>
        <v>14.846835640152808</v>
      </c>
      <c r="K19" s="89">
        <f t="shared" si="3"/>
        <v>4.2551205339156437E-3</v>
      </c>
      <c r="L19" s="72">
        <f>K19*'Assumed Values'!$C$8</f>
        <v>31.947444968638653</v>
      </c>
      <c r="M19" s="73">
        <f t="shared" si="0"/>
        <v>11.57922426662641</v>
      </c>
      <c r="N19" s="88">
        <f>I19*'Inputs &amp; Outputs'!B$16*'Benefit Calculations'!G19*('Benefit Calculations'!D$4-'Benefit Calculations'!D$5)</f>
        <v>10.249626367141474</v>
      </c>
      <c r="O19" s="89">
        <f t="shared" si="4"/>
        <v>2.9375549562787517E-3</v>
      </c>
      <c r="P19" s="72">
        <f>ABS(O19*'Assumed Values'!$C$7)</f>
        <v>5.5960421917110219</v>
      </c>
      <c r="Q19" s="73">
        <f t="shared" si="1"/>
        <v>2.0282632181363667</v>
      </c>
      <c r="T19" s="85">
        <f t="shared" si="5"/>
        <v>3.8601772664397299E-3</v>
      </c>
      <c r="U19" s="86">
        <f>T19*'Assumed Values'!$D$8</f>
        <v>0</v>
      </c>
    </row>
    <row r="20" spans="2:21" x14ac:dyDescent="0.55000000000000004">
      <c r="F20" s="70">
        <f t="shared" si="2"/>
        <v>2034</v>
      </c>
      <c r="G20" s="80">
        <f t="shared" si="6"/>
        <v>6972.6903748501618</v>
      </c>
      <c r="H20" s="79">
        <f t="shared" si="8"/>
        <v>9.4104346681178619E-3</v>
      </c>
      <c r="I20" s="70">
        <f>IF(AND(F20&gt;='Inputs &amp; Outputs'!B$13,F20&lt;'Inputs &amp; Outputs'!B$13+'Inputs &amp; Outputs'!B$19),1,0)</f>
        <v>1</v>
      </c>
      <c r="J20" s="71">
        <f>I20*'Inputs &amp; Outputs'!B$16*'Benefit Calculations'!G20*('Benefit Calculations'!C$4-'Benefit Calculations'!C$5)</f>
        <v>14.98655081697275</v>
      </c>
      <c r="K20" s="89">
        <f t="shared" si="3"/>
        <v>4.295163067705025E-3</v>
      </c>
      <c r="L20" s="72">
        <f>K20*'Assumed Values'!$C$8</f>
        <v>32.248084312329325</v>
      </c>
      <c r="M20" s="73">
        <f t="shared" si="0"/>
        <v>10.923541869247652</v>
      </c>
      <c r="N20" s="88">
        <f>I20*'Inputs &amp; Outputs'!B$16*'Benefit Calculations'!G20*('Benefit Calculations'!D$4-'Benefit Calculations'!D$5)</f>
        <v>10.346079806442077</v>
      </c>
      <c r="O20" s="89">
        <f t="shared" si="4"/>
        <v>2.9651986252788188E-3</v>
      </c>
      <c r="P20" s="72">
        <f>ABS(O20*'Assumed Values'!$C$7)</f>
        <v>5.6487033811561496</v>
      </c>
      <c r="Q20" s="73">
        <f t="shared" si="1"/>
        <v>1.9134112678882107</v>
      </c>
      <c r="T20" s="85">
        <f t="shared" si="5"/>
        <v>3.8965032124129153E-3</v>
      </c>
      <c r="U20" s="86">
        <f>T20*'Assumed Values'!$D$8</f>
        <v>0</v>
      </c>
    </row>
    <row r="21" spans="2:21" x14ac:dyDescent="0.55000000000000004">
      <c r="F21" s="70">
        <f t="shared" si="2"/>
        <v>2035</v>
      </c>
      <c r="G21" s="80">
        <f t="shared" si="6"/>
        <v>7038.3064220837032</v>
      </c>
      <c r="H21" s="79">
        <f t="shared" si="8"/>
        <v>9.4104346681178619E-3</v>
      </c>
      <c r="I21" s="70">
        <f>IF(AND(F21&gt;='Inputs &amp; Outputs'!B$13,F21&lt;'Inputs &amp; Outputs'!B$13+'Inputs &amp; Outputs'!B$19),1,0)</f>
        <v>1</v>
      </c>
      <c r="J21" s="71">
        <f>I21*'Inputs &amp; Outputs'!B$16*'Benefit Calculations'!G21*('Benefit Calculations'!C$4-'Benefit Calculations'!C$5)</f>
        <v>15.127580774336302</v>
      </c>
      <c r="K21" s="89">
        <f t="shared" si="3"/>
        <v>4.3355824191425758E-3</v>
      </c>
      <c r="L21" s="72">
        <f>K21*'Assumed Values'!$C$8</f>
        <v>32.551552802922458</v>
      </c>
      <c r="M21" s="73">
        <f t="shared" si="0"/>
        <v>10.304987987245473</v>
      </c>
      <c r="N21" s="88">
        <f>I21*'Inputs &amp; Outputs'!B$16*'Benefit Calculations'!G21*('Benefit Calculations'!D$4-'Benefit Calculations'!D$5)</f>
        <v>10.443440914531735</v>
      </c>
      <c r="O21" s="89">
        <f t="shared" si="4"/>
        <v>2.9931024332199982E-3</v>
      </c>
      <c r="P21" s="72">
        <f>ABS(O21*'Assumed Values'!$C$7)</f>
        <v>5.7018601352840967</v>
      </c>
      <c r="Q21" s="73">
        <f t="shared" si="1"/>
        <v>1.8050628968391715</v>
      </c>
      <c r="T21" s="85">
        <f t="shared" si="5"/>
        <v>3.9331710013274382E-3</v>
      </c>
      <c r="U21" s="86">
        <f>T21*'Assumed Values'!$D$8</f>
        <v>0</v>
      </c>
    </row>
    <row r="22" spans="2:21" x14ac:dyDescent="0.55000000000000004">
      <c r="F22" s="70">
        <f t="shared" si="2"/>
        <v>2036</v>
      </c>
      <c r="G22" s="80">
        <f t="shared" si="6"/>
        <v>7104.5399448429162</v>
      </c>
      <c r="H22" s="79">
        <f t="shared" si="8"/>
        <v>9.4104346681178619E-3</v>
      </c>
      <c r="I22" s="70">
        <f>IF(AND(F22&gt;='Inputs &amp; Outputs'!B$13,F22&lt;'Inputs &amp; Outputs'!B$13+'Inputs &amp; Outputs'!B$19),1,0)</f>
        <v>1</v>
      </c>
      <c r="J22" s="71">
        <f>I22*'Inputs &amp; Outputs'!B$16*'Benefit Calculations'!G22*('Benefit Calculations'!C$4-'Benefit Calculations'!C$5)</f>
        <v>15.269937884899869</v>
      </c>
      <c r="K22" s="89">
        <f t="shared" si="3"/>
        <v>4.3763821342461574E-3</v>
      </c>
      <c r="L22" s="72">
        <f>K22*'Assumed Values'!$C$8</f>
        <v>32.857877063920149</v>
      </c>
      <c r="M22" s="73">
        <f t="shared" si="0"/>
        <v>9.7214601901450344</v>
      </c>
      <c r="N22" s="88">
        <f>I22*'Inputs &amp; Outputs'!B$16*'Benefit Calculations'!G22*('Benefit Calculations'!D$4-'Benefit Calculations'!D$5)</f>
        <v>10.541718232968286</v>
      </c>
      <c r="O22" s="89">
        <f t="shared" si="4"/>
        <v>3.0212688281228001E-3</v>
      </c>
      <c r="P22" s="72">
        <f>ABS(O22*'Assumed Values'!$C$7)</f>
        <v>5.7555171175739339</v>
      </c>
      <c r="Q22" s="73">
        <f t="shared" si="1"/>
        <v>1.7028498348614209</v>
      </c>
      <c r="T22" s="85">
        <f t="shared" si="5"/>
        <v>3.9701838500739656E-3</v>
      </c>
      <c r="U22" s="86">
        <f>T22*'Assumed Values'!$D$8</f>
        <v>0</v>
      </c>
    </row>
    <row r="23" spans="2:21" x14ac:dyDescent="0.55000000000000004">
      <c r="F23" s="70">
        <f t="shared" si="2"/>
        <v>2037</v>
      </c>
      <c r="G23" s="80">
        <f t="shared" si="6"/>
        <v>7171.3967538408942</v>
      </c>
      <c r="H23" s="79">
        <f t="shared" si="8"/>
        <v>9.4104346681178619E-3</v>
      </c>
      <c r="I23" s="70">
        <f>IF(AND(F23&gt;='Inputs &amp; Outputs'!B$13,F23&lt;'Inputs &amp; Outputs'!B$13+'Inputs &amp; Outputs'!B$19),1,0)</f>
        <v>1</v>
      </c>
      <c r="J23" s="71">
        <f>I23*'Inputs &amp; Outputs'!B$16*'Benefit Calculations'!G23*('Benefit Calculations'!C$4-'Benefit Calculations'!C$5)</f>
        <v>15.413634637751937</v>
      </c>
      <c r="K23" s="89">
        <f t="shared" si="3"/>
        <v>4.4175657924031986E-3</v>
      </c>
      <c r="L23" s="72">
        <f>K23*'Assumed Values'!$C$8</f>
        <v>33.167083969363219</v>
      </c>
      <c r="M23" s="73">
        <f t="shared" si="0"/>
        <v>9.1709750991991612</v>
      </c>
      <c r="N23" s="88">
        <f>I23*'Inputs &amp; Outputs'!B$16*'Benefit Calculations'!G23*('Benefit Calculations'!D$4-'Benefit Calculations'!D$5)</f>
        <v>10.640920383689339</v>
      </c>
      <c r="O23" s="89">
        <f t="shared" si="4"/>
        <v>3.04970028104467E-3</v>
      </c>
      <c r="P23" s="72">
        <f>ABS(O23*'Assumed Values'!$C$7)</f>
        <v>5.8096790353900962</v>
      </c>
      <c r="Q23" s="73">
        <f t="shared" si="1"/>
        <v>1.6064246654037375</v>
      </c>
      <c r="T23" s="85">
        <f t="shared" si="5"/>
        <v>4.007545005815503E-3</v>
      </c>
      <c r="U23" s="86">
        <f>T23*'Assumed Values'!$D$8</f>
        <v>0</v>
      </c>
    </row>
    <row r="24" spans="2:21" x14ac:dyDescent="0.55000000000000004">
      <c r="F24" s="70">
        <f t="shared" si="2"/>
        <v>2038</v>
      </c>
      <c r="G24" s="80">
        <f t="shared" si="6"/>
        <v>7238.8827144720663</v>
      </c>
      <c r="H24" s="79">
        <f t="shared" si="8"/>
        <v>9.4104346681178619E-3</v>
      </c>
      <c r="I24" s="70">
        <f>IF(AND(F24&gt;='Inputs &amp; Outputs'!B$13,F24&lt;'Inputs &amp; Outputs'!B$13+'Inputs &amp; Outputs'!B$19),1,0)</f>
        <v>1</v>
      </c>
      <c r="J24" s="71">
        <f>I24*'Inputs &amp; Outputs'!B$16*'Benefit Calculations'!G24*('Benefit Calculations'!C$4-'Benefit Calculations'!C$5)</f>
        <v>15.558683639508738</v>
      </c>
      <c r="K24" s="89">
        <f t="shared" si="3"/>
        <v>4.4591370066847207E-3</v>
      </c>
      <c r="L24" s="72">
        <f>K24*'Assumed Values'!$C$8</f>
        <v>33.479200646188886</v>
      </c>
      <c r="M24" s="73">
        <f t="shared" si="0"/>
        <v>8.6516616459935598</v>
      </c>
      <c r="N24" s="88">
        <f>I24*'Inputs &amp; Outputs'!B$16*'Benefit Calculations'!G24*('Benefit Calculations'!D$4-'Benefit Calculations'!D$5)</f>
        <v>10.741056069768691</v>
      </c>
      <c r="O24" s="89">
        <f t="shared" si="4"/>
        <v>3.0783992862967817E-3</v>
      </c>
      <c r="P24" s="72">
        <f>ABS(O24*'Assumed Values'!$C$7)</f>
        <v>5.8643506403953696</v>
      </c>
      <c r="Q24" s="73">
        <f t="shared" si="1"/>
        <v>1.5154596446418438</v>
      </c>
      <c r="T24" s="85">
        <f t="shared" si="5"/>
        <v>4.0452577462722723E-3</v>
      </c>
      <c r="U24" s="86">
        <f>T24*'Assumed Values'!$D$8</f>
        <v>0</v>
      </c>
    </row>
    <row r="25" spans="2:21" x14ac:dyDescent="0.55000000000000004">
      <c r="F25" s="70">
        <f t="shared" si="2"/>
        <v>2039</v>
      </c>
      <c r="G25" s="80">
        <f t="shared" si="6"/>
        <v>7307.003747326773</v>
      </c>
      <c r="H25" s="79">
        <f t="shared" si="8"/>
        <v>9.4104346681178619E-3</v>
      </c>
      <c r="I25" s="70">
        <f>IF(AND(F25&gt;='Inputs &amp; Outputs'!B$13,F25&lt;'Inputs &amp; Outputs'!B$13+'Inputs &amp; Outputs'!B$19),1,0)</f>
        <v>1</v>
      </c>
      <c r="J25" s="71">
        <f>I25*'Inputs &amp; Outputs'!B$16*'Benefit Calculations'!G25*('Benefit Calculations'!C$4-'Benefit Calculations'!C$5)</f>
        <v>15.70509761542025</v>
      </c>
      <c r="K25" s="89">
        <f t="shared" si="3"/>
        <v>4.5010994241623144E-3</v>
      </c>
      <c r="L25" s="72">
        <f>K25*'Assumed Values'!$C$8</f>
        <v>33.794254476610654</v>
      </c>
      <c r="M25" s="73">
        <f t="shared" si="0"/>
        <v>8.161754712788639</v>
      </c>
      <c r="N25" s="88">
        <f>I25*'Inputs &amp; Outputs'!B$16*'Benefit Calculations'!G25*('Benefit Calculations'!D$4-'Benefit Calculations'!D$5)</f>
        <v>10.842134076179841</v>
      </c>
      <c r="O25" s="89">
        <f t="shared" si="4"/>
        <v>3.1073683616628582E-3</v>
      </c>
      <c r="P25" s="72">
        <f>ABS(O25*'Assumed Values'!$C$7)</f>
        <v>5.9195367289677447</v>
      </c>
      <c r="Q25" s="73">
        <f t="shared" si="1"/>
        <v>1.4296455874952474</v>
      </c>
      <c r="T25" s="85">
        <f t="shared" si="5"/>
        <v>4.083325380009265E-3</v>
      </c>
      <c r="U25" s="86">
        <f>T25*'Assumed Values'!$D$8</f>
        <v>0</v>
      </c>
    </row>
    <row r="26" spans="2:21" x14ac:dyDescent="0.55000000000000004">
      <c r="F26" s="70">
        <f t="shared" si="2"/>
        <v>2040</v>
      </c>
      <c r="G26" s="80">
        <f t="shared" si="6"/>
        <v>7375.7658287106842</v>
      </c>
      <c r="H26" s="79">
        <f t="shared" si="8"/>
        <v>9.4104346681178619E-3</v>
      </c>
      <c r="I26" s="70">
        <f>IF(AND(F26&gt;='Inputs &amp; Outputs'!B$13,F26&lt;'Inputs &amp; Outputs'!B$13+'Inputs &amp; Outputs'!B$19),1,0)</f>
        <v>1</v>
      </c>
      <c r="J26" s="71">
        <f>I26*'Inputs &amp; Outputs'!B$16*'Benefit Calculations'!G26*('Benefit Calculations'!C$4-'Benefit Calculations'!C$5)</f>
        <v>15.852889410486577</v>
      </c>
      <c r="K26" s="89">
        <f t="shared" si="3"/>
        <v>4.5434567262280972E-3</v>
      </c>
      <c r="L26" s="72">
        <f>K26*'Assumed Values'!$C$8</f>
        <v>34.112273100520554</v>
      </c>
      <c r="M26" s="73">
        <f t="shared" si="0"/>
        <v>7.6995891329818136</v>
      </c>
      <c r="N26" s="88">
        <f>I26*'Inputs &amp; Outputs'!B$16*'Benefit Calculations'!G26*('Benefit Calculations'!D$4-'Benefit Calculations'!D$5)</f>
        <v>10.944163270566705</v>
      </c>
      <c r="O26" s="89">
        <f t="shared" si="4"/>
        <v>3.136610048620063E-3</v>
      </c>
      <c r="P26" s="72">
        <f>ABS(O26*'Assumed Values'!$C$7)</f>
        <v>5.9752421426212203</v>
      </c>
      <c r="Q26" s="73">
        <f t="shared" si="1"/>
        <v>1.3486908167242377</v>
      </c>
      <c r="T26" s="85">
        <f t="shared" si="5"/>
        <v>4.1217512467265106E-3</v>
      </c>
      <c r="U26" s="86">
        <f>T26*'Assumed Values'!$D$8</f>
        <v>0</v>
      </c>
    </row>
    <row r="27" spans="2:21" x14ac:dyDescent="0.55000000000000004">
      <c r="F27" s="70">
        <f t="shared" si="2"/>
        <v>2041</v>
      </c>
      <c r="G27" s="80">
        <f t="shared" si="6"/>
        <v>7445.1749911691022</v>
      </c>
      <c r="H27" s="79">
        <f t="shared" si="8"/>
        <v>9.4104346681178619E-3</v>
      </c>
      <c r="I27" s="70">
        <f>IF(AND(F27&gt;='Inputs &amp; Outputs'!B$13,F27&lt;'Inputs &amp; Outputs'!B$13+'Inputs &amp; Outputs'!B$19),1,0)</f>
        <v>1</v>
      </c>
      <c r="J27" s="71">
        <f>I27*'Inputs &amp; Outputs'!B$16*'Benefit Calculations'!G27*('Benefit Calculations'!C$4-'Benefit Calculations'!C$5)</f>
        <v>16.002071990584856</v>
      </c>
      <c r="K27" s="89">
        <f t="shared" si="3"/>
        <v>4.5862126289176863E-3</v>
      </c>
      <c r="L27" s="72">
        <f>K27*'Assumed Values'!$C$8</f>
        <v>34.433284417913988</v>
      </c>
      <c r="M27" s="73">
        <f t="shared" si="0"/>
        <v>7.2635940312982124</v>
      </c>
      <c r="N27" s="88">
        <f>I27*'Inputs &amp; Outputs'!B$16*'Benefit Calculations'!G27*('Benefit Calculations'!D$4-'Benefit Calculations'!D$5)</f>
        <v>11.047152604021587</v>
      </c>
      <c r="O27" s="89">
        <f t="shared" si="4"/>
        <v>3.1661269125619639E-3</v>
      </c>
      <c r="P27" s="72">
        <f>ABS(O27*'Assumed Values'!$C$7)</f>
        <v>6.0314717684305412</v>
      </c>
      <c r="Q27" s="73">
        <f t="shared" si="1"/>
        <v>1.2723201715350576</v>
      </c>
      <c r="T27" s="85">
        <f t="shared" si="5"/>
        <v>4.160538717552063E-3</v>
      </c>
      <c r="U27" s="86">
        <f>T27*'Assumed Values'!$D$8</f>
        <v>0</v>
      </c>
    </row>
    <row r="28" spans="2:21" x14ac:dyDescent="0.55000000000000004">
      <c r="F28" s="70">
        <f t="shared" si="2"/>
        <v>2042</v>
      </c>
      <c r="G28" s="80">
        <f t="shared" si="6"/>
        <v>7515.2373240162042</v>
      </c>
      <c r="H28" s="79">
        <f t="shared" si="8"/>
        <v>9.4104346681178619E-3</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55000000000000004">
      <c r="F29" s="70">
        <f t="shared" si="2"/>
        <v>2043</v>
      </c>
      <c r="G29" s="80">
        <f t="shared" si="6"/>
        <v>7585.9589738692594</v>
      </c>
      <c r="H29" s="79">
        <f t="shared" si="8"/>
        <v>9.4104346681178619E-3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55000000000000004">
      <c r="F30" s="70">
        <f t="shared" si="2"/>
        <v>2044</v>
      </c>
      <c r="G30" s="80">
        <f t="shared" si="6"/>
        <v>7657.3461451878784</v>
      </c>
      <c r="H30" s="79">
        <f t="shared" si="8"/>
        <v>9.4104346681178619E-3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55000000000000004">
      <c r="F31" s="70">
        <f t="shared" si="2"/>
        <v>2045</v>
      </c>
      <c r="G31" s="80">
        <f>'Inputs &amp; Outputs'!$B$24</f>
        <v>8100</v>
      </c>
      <c r="H31" s="79">
        <f t="shared" si="8"/>
        <v>9.4104346681178619E-3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55000000000000004">
      <c r="F32" s="70">
        <f t="shared" si="2"/>
        <v>2046</v>
      </c>
      <c r="G32" s="80">
        <f t="shared" si="6"/>
        <v>8176.2245208117547</v>
      </c>
      <c r="H32" s="79">
        <f t="shared" si="8"/>
        <v>9.4104346681178619E-3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55000000000000004">
      <c r="F33" s="70">
        <f t="shared" si="2"/>
        <v>2047</v>
      </c>
      <c r="G33" s="80">
        <f t="shared" si="6"/>
        <v>8253.1663474967172</v>
      </c>
      <c r="H33" s="79">
        <f t="shared" si="8"/>
        <v>9.4104346681178619E-3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55000000000000004">
      <c r="F34" s="70">
        <f t="shared" si="2"/>
        <v>2048</v>
      </c>
      <c r="G34" s="80">
        <f t="shared" si="6"/>
        <v>8330.8322302149445</v>
      </c>
      <c r="H34" s="79">
        <f t="shared" si="8"/>
        <v>9.4104346681178619E-3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55000000000000004">
      <c r="F35" s="70">
        <f t="shared" si="2"/>
        <v>2049</v>
      </c>
      <c r="G35" s="80">
        <f t="shared" si="6"/>
        <v>8409.2289826484321</v>
      </c>
      <c r="H35" s="79">
        <f t="shared" si="8"/>
        <v>9.4104346681178619E-3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55000000000000004">
      <c r="F36" s="70">
        <f t="shared" si="2"/>
        <v>2050</v>
      </c>
      <c r="G36" s="80">
        <f t="shared" si="6"/>
        <v>8488.3634825988884</v>
      </c>
      <c r="H36" s="79">
        <f t="shared" si="8"/>
        <v>9.4104346681178619E-3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55000000000000004">
      <c r="F37" s="70" t="s">
        <v>58</v>
      </c>
      <c r="G37" s="70"/>
      <c r="H37" s="70"/>
      <c r="I37" s="70"/>
      <c r="J37" s="71">
        <f>SUM(J4:J36)</f>
        <v>280.24687544301844</v>
      </c>
      <c r="K37" s="71">
        <f t="shared" ref="K37:Q37" si="9">SUM(K4:K36)</f>
        <v>8.031908368664438E-2</v>
      </c>
      <c r="L37" s="74">
        <f t="shared" si="9"/>
        <v>603.03568031932593</v>
      </c>
      <c r="M37" s="75">
        <f t="shared" si="9"/>
        <v>246.96051069399385</v>
      </c>
      <c r="N37" s="88">
        <f t="shared" si="9"/>
        <v>193.47057066364957</v>
      </c>
      <c r="O37" s="88">
        <f t="shared" si="9"/>
        <v>5.544889280735648E-2</v>
      </c>
      <c r="P37" s="76">
        <f t="shared" si="9"/>
        <v>105.63014079801408</v>
      </c>
      <c r="Q37" s="75">
        <f t="shared" si="9"/>
        <v>43.258590440854896</v>
      </c>
      <c r="T37" s="85">
        <f>SUM(T4:T36)</f>
        <v>7.2864187615184789E-2</v>
      </c>
      <c r="U37" s="86">
        <f>SUM(U4:U36)</f>
        <v>0</v>
      </c>
    </row>
    <row r="38" spans="6:21" x14ac:dyDescent="0.55000000000000004">
      <c r="O38" s="56"/>
      <c r="P38" s="56"/>
    </row>
    <row r="39" spans="6:21" x14ac:dyDescent="0.55000000000000004">
      <c r="O39" s="77"/>
      <c r="P39" s="56"/>
    </row>
    <row r="40" spans="6:21" x14ac:dyDescent="0.55000000000000004">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B36" sqref="B36"/>
    </sheetView>
  </sheetViews>
  <sheetFormatPr defaultRowHeight="14.4" x14ac:dyDescent="0.55000000000000004"/>
  <cols>
    <col min="1" max="1" width="3.41796875" customWidth="1"/>
    <col min="2" max="2" width="62.41796875" bestFit="1" customWidth="1"/>
    <col min="3" max="3" width="22.68359375" bestFit="1" customWidth="1"/>
    <col min="4" max="4" width="20" bestFit="1" customWidth="1"/>
  </cols>
  <sheetData>
    <row r="2" spans="2:4" x14ac:dyDescent="0.55000000000000004">
      <c r="B2" s="2" t="s">
        <v>99</v>
      </c>
    </row>
    <row r="3" spans="2:4" s="49" customFormat="1" x14ac:dyDescent="0.55000000000000004">
      <c r="B3" s="2"/>
    </row>
    <row r="4" spans="2:4" s="49" customFormat="1" x14ac:dyDescent="0.55000000000000004">
      <c r="B4" s="3" t="s">
        <v>98</v>
      </c>
    </row>
    <row r="5" spans="2:4" s="49" customFormat="1" x14ac:dyDescent="0.55000000000000004">
      <c r="B5" s="3"/>
    </row>
    <row r="6" spans="2:4" s="49" customFormat="1" x14ac:dyDescent="0.55000000000000004">
      <c r="B6" s="32" t="s">
        <v>0</v>
      </c>
      <c r="C6" s="32" t="s">
        <v>100</v>
      </c>
      <c r="D6" s="29"/>
    </row>
    <row r="7" spans="2:4" s="49" customFormat="1" x14ac:dyDescent="0.55000000000000004">
      <c r="B7" s="31" t="s">
        <v>1</v>
      </c>
      <c r="C7" s="65">
        <v>1905</v>
      </c>
      <c r="D7" s="90"/>
    </row>
    <row r="8" spans="2:4" s="49" customFormat="1" x14ac:dyDescent="0.55000000000000004">
      <c r="B8" s="31" t="s">
        <v>2</v>
      </c>
      <c r="C8" s="65">
        <v>7508</v>
      </c>
      <c r="D8" s="90"/>
    </row>
    <row r="9" spans="2:4" x14ac:dyDescent="0.55000000000000004">
      <c r="B9" s="27"/>
      <c r="C9" s="28"/>
    </row>
    <row r="10" spans="2:4" s="49" customFormat="1" x14ac:dyDescent="0.55000000000000004">
      <c r="B10" s="27"/>
      <c r="C10" s="28"/>
    </row>
    <row r="11" spans="2:4" x14ac:dyDescent="0.55000000000000004">
      <c r="B11" s="29" t="s">
        <v>23</v>
      </c>
    </row>
    <row r="12" spans="2:4" s="49" customFormat="1" ht="72" x14ac:dyDescent="0.55000000000000004">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C40" sqref="C40"/>
    </sheetView>
  </sheetViews>
  <sheetFormatPr defaultRowHeight="14.4" x14ac:dyDescent="0.55000000000000004"/>
  <cols>
    <col min="1" max="1" width="13.41796875" bestFit="1" customWidth="1"/>
    <col min="3" max="8" width="12" style="46" bestFit="1" customWidth="1"/>
    <col min="9" max="9" width="12.15625" style="46" bestFit="1" customWidth="1"/>
    <col min="10" max="10" width="12" style="46" bestFit="1" customWidth="1"/>
    <col min="11" max="11" width="12.15625" bestFit="1" customWidth="1"/>
  </cols>
  <sheetData>
    <row r="1" spans="1:14" s="49" customFormat="1" x14ac:dyDescent="0.55000000000000004">
      <c r="A1" s="123" t="s">
        <v>118</v>
      </c>
      <c r="B1" s="123"/>
      <c r="C1" s="123"/>
      <c r="D1" s="123"/>
      <c r="E1" s="123"/>
      <c r="F1" s="123"/>
      <c r="G1" s="123"/>
      <c r="H1" s="123"/>
      <c r="I1" s="123"/>
      <c r="J1" s="123"/>
    </row>
    <row r="2" spans="1:14" x14ac:dyDescent="0.55000000000000004">
      <c r="A2" s="91" t="s">
        <v>65</v>
      </c>
      <c r="B2" s="91" t="s">
        <v>66</v>
      </c>
      <c r="C2" s="116" t="s">
        <v>67</v>
      </c>
      <c r="D2" s="116" t="s">
        <v>68</v>
      </c>
      <c r="E2" s="116" t="s">
        <v>69</v>
      </c>
      <c r="F2" s="116" t="s">
        <v>70</v>
      </c>
      <c r="G2" s="116" t="s">
        <v>71</v>
      </c>
      <c r="H2" s="116" t="s">
        <v>72</v>
      </c>
      <c r="I2" s="116" t="s">
        <v>73</v>
      </c>
      <c r="J2" s="116" t="s">
        <v>74</v>
      </c>
    </row>
    <row r="3" spans="1:14" x14ac:dyDescent="0.55000000000000004">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55000000000000004">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55000000000000004">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55000000000000004">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55000000000000004">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55000000000000004">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55000000000000004">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55000000000000004">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55000000000000004">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55000000000000004">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55000000000000004">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55000000000000004">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55000000000000004">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55000000000000004">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55000000000000004">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55000000000000004">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55000000000000004">
      <c r="C19" s="46"/>
      <c r="D19" s="46"/>
      <c r="E19" s="46"/>
      <c r="F19" s="46"/>
      <c r="G19" s="46"/>
      <c r="H19" s="46"/>
      <c r="I19" s="46"/>
      <c r="J19" s="46"/>
    </row>
    <row r="20" spans="1:10" x14ac:dyDescent="0.55000000000000004">
      <c r="A20" s="123" t="s">
        <v>118</v>
      </c>
      <c r="B20" s="123"/>
      <c r="C20" s="123"/>
      <c r="D20" s="123"/>
      <c r="E20" s="123"/>
      <c r="F20" s="123"/>
      <c r="G20" s="123"/>
      <c r="H20" s="123"/>
      <c r="I20" s="123"/>
      <c r="J20" s="123"/>
    </row>
    <row r="21" spans="1:10" x14ac:dyDescent="0.55000000000000004">
      <c r="A21" s="91" t="s">
        <v>65</v>
      </c>
      <c r="B21" s="91" t="s">
        <v>66</v>
      </c>
      <c r="C21" s="116" t="s">
        <v>67</v>
      </c>
      <c r="D21" s="116" t="s">
        <v>68</v>
      </c>
      <c r="E21" s="116" t="s">
        <v>69</v>
      </c>
      <c r="F21" s="116" t="s">
        <v>70</v>
      </c>
      <c r="G21" s="116" t="s">
        <v>71</v>
      </c>
      <c r="H21" s="116" t="s">
        <v>72</v>
      </c>
      <c r="I21" s="116" t="s">
        <v>73</v>
      </c>
      <c r="J21" s="116" t="s">
        <v>74</v>
      </c>
    </row>
    <row r="22" spans="1:10" x14ac:dyDescent="0.55000000000000004">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55000000000000004">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55000000000000004">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55000000000000004">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55000000000000004">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55000000000000004">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55000000000000004">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55000000000000004">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55000000000000004">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55000000000000004">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55000000000000004">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55000000000000004">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55000000000000004">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55000000000000004">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55000000000000004">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55000000000000004">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4.4" x14ac:dyDescent="0.55000000000000004"/>
  <cols>
    <col min="1" max="1" width="13.41796875" bestFit="1" customWidth="1"/>
    <col min="3" max="9" width="12.15625" style="46" bestFit="1" customWidth="1"/>
    <col min="10" max="10" width="10.578125" style="46" bestFit="1" customWidth="1"/>
  </cols>
  <sheetData>
    <row r="1" spans="1:15" s="49" customFormat="1" x14ac:dyDescent="0.55000000000000004">
      <c r="A1" s="123" t="s">
        <v>118</v>
      </c>
      <c r="B1" s="123"/>
      <c r="C1" s="123"/>
      <c r="D1" s="123"/>
      <c r="E1" s="123"/>
      <c r="F1" s="123"/>
      <c r="G1" s="123"/>
      <c r="H1" s="123"/>
      <c r="I1" s="123"/>
      <c r="J1" s="123"/>
    </row>
    <row r="2" spans="1:15" s="2" customFormat="1" x14ac:dyDescent="0.55000000000000004">
      <c r="A2" s="91" t="s">
        <v>65</v>
      </c>
      <c r="B2" s="91" t="s">
        <v>66</v>
      </c>
      <c r="C2" s="116" t="s">
        <v>67</v>
      </c>
      <c r="D2" s="116" t="s">
        <v>68</v>
      </c>
      <c r="E2" s="116" t="s">
        <v>69</v>
      </c>
      <c r="F2" s="116" t="s">
        <v>70</v>
      </c>
      <c r="G2" s="116" t="s">
        <v>71</v>
      </c>
      <c r="H2" s="116" t="s">
        <v>72</v>
      </c>
      <c r="I2" s="116" t="s">
        <v>73</v>
      </c>
      <c r="J2" s="116" t="s">
        <v>74</v>
      </c>
    </row>
    <row r="3" spans="1:15" x14ac:dyDescent="0.55000000000000004">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55000000000000004">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55000000000000004">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55000000000000004">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55000000000000004">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55000000000000004">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55000000000000004">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55000000000000004">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55000000000000004">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55000000000000004">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55000000000000004">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55000000000000004">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55000000000000004">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55000000000000004">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55000000000000004">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55000000000000004">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55000000000000004">
      <c r="C19" s="46"/>
      <c r="D19" s="46"/>
      <c r="E19" s="46"/>
      <c r="F19" s="46"/>
      <c r="G19" s="46"/>
      <c r="H19" s="46"/>
      <c r="I19" s="46"/>
      <c r="J19" s="46"/>
    </row>
    <row r="20" spans="1:10" x14ac:dyDescent="0.55000000000000004">
      <c r="A20" s="123" t="s">
        <v>118</v>
      </c>
      <c r="B20" s="123"/>
      <c r="C20" s="123"/>
      <c r="D20" s="123"/>
      <c r="E20" s="123"/>
      <c r="F20" s="123"/>
      <c r="G20" s="123"/>
      <c r="H20" s="123"/>
      <c r="I20" s="123"/>
      <c r="J20" s="123"/>
    </row>
    <row r="21" spans="1:10" s="2" customFormat="1" x14ac:dyDescent="0.55000000000000004">
      <c r="A21" s="91" t="s">
        <v>65</v>
      </c>
      <c r="B21" s="91" t="s">
        <v>66</v>
      </c>
      <c r="C21" s="116" t="s">
        <v>67</v>
      </c>
      <c r="D21" s="116" t="s">
        <v>68</v>
      </c>
      <c r="E21" s="116" t="s">
        <v>69</v>
      </c>
      <c r="F21" s="116" t="s">
        <v>70</v>
      </c>
      <c r="G21" s="116" t="s">
        <v>71</v>
      </c>
      <c r="H21" s="116" t="s">
        <v>72</v>
      </c>
      <c r="I21" s="116" t="s">
        <v>73</v>
      </c>
      <c r="J21" s="116" t="s">
        <v>74</v>
      </c>
    </row>
    <row r="22" spans="1:10" x14ac:dyDescent="0.55000000000000004">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55000000000000004">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55000000000000004">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55000000000000004">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55000000000000004">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55000000000000004">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55000000000000004">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55000000000000004">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55000000000000004">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55000000000000004">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55000000000000004">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55000000000000004">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55000000000000004">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55000000000000004">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55000000000000004">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55000000000000004">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4.4" x14ac:dyDescent="0.55000000000000004"/>
  <cols>
    <col min="3" max="3" width="23.15625" customWidth="1"/>
    <col min="4" max="4" width="11.15625" bestFit="1" customWidth="1"/>
  </cols>
  <sheetData>
    <row r="2" spans="2:4" x14ac:dyDescent="0.55000000000000004">
      <c r="B2" t="s">
        <v>125</v>
      </c>
      <c r="C2" t="s">
        <v>124</v>
      </c>
    </row>
    <row r="3" spans="2:4" x14ac:dyDescent="0.55000000000000004">
      <c r="C3" t="s">
        <v>126</v>
      </c>
    </row>
    <row r="5" spans="2:4" x14ac:dyDescent="0.55000000000000004">
      <c r="C5" s="94" t="s">
        <v>119</v>
      </c>
      <c r="D5" s="95" t="s">
        <v>120</v>
      </c>
    </row>
    <row r="6" spans="2:4" x14ac:dyDescent="0.55000000000000004">
      <c r="C6" s="92" t="s">
        <v>121</v>
      </c>
      <c r="D6" s="93">
        <v>20</v>
      </c>
    </row>
    <row r="7" spans="2:4" x14ac:dyDescent="0.55000000000000004">
      <c r="C7" s="92" t="s">
        <v>122</v>
      </c>
      <c r="D7" s="93">
        <v>20</v>
      </c>
    </row>
    <row r="8" spans="2:4" x14ac:dyDescent="0.55000000000000004">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Karen McKinnon</cp:lastModifiedBy>
  <cp:lastPrinted>2018-10-30T21:18:46Z</cp:lastPrinted>
  <dcterms:created xsi:type="dcterms:W3CDTF">2012-07-25T15:48:32Z</dcterms:created>
  <dcterms:modified xsi:type="dcterms:W3CDTF">2018-10-30T21:55:37Z</dcterms:modified>
</cp:coreProperties>
</file>