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4_US90/"/>
    </mc:Choice>
  </mc:AlternateContent>
  <xr:revisionPtr revIDLastSave="17" documentId="8_{01FEF26C-E846-4510-9A26-6ADB8E298A83}" xr6:coauthVersionLast="40" xr6:coauthVersionMax="40" xr10:uidLastSave="{129492F5-20EF-4DE2-A29D-F0AA73912B79}"/>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<sst xmlns="http://schemas.openxmlformats.org/spreadsheetml/2006/main" count="263" uniqueCount="131">
  <si>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</si>
  <si>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</si>
  <si>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</si>
  <si>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</si>
  <si>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</si>
  <si>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</si>
  <si>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</si>
  <si>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</si>
  <si>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</si>
  <si>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</si>
  <si>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</si>
  <si>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</si>
  <si>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</si>
  <si>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</si>
  <si>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</si>
  <si>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</si>
  <si>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</si>
  <si>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</si>
  <si>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</si>
  <si>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</si>
  <si>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</si>
  <si>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</si>
  <si>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</si>
  <si>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</si>
  <si>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</si>
  <si>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</si>
  <si>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</si>
  <si>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</si>
  <si>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</si>
  <si>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</si>
  <si>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</si>
  <si>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</si>
  <si>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</si>
  <si>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</si>
  <si>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</si>
  <si>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</si>
  <si>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</si>
  <si>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</si>
  <si>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</si>
  <si>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</si>
  <si>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</si>
  <si>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</si>
  <si>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</si>
  <si>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</si>
  <si>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</si>
  <si>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</si>
  <si>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</si>
  <si>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US 90 UPRR Overpass</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</si>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</sst>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5" zoomScaleNormal="100" workbookViewId="0" xr3:uid="{51F8DEE0-4D01-5F28-A812-FC0BD7CAC4A5}">
      <selection activeCell="B19" sqref="B19"/>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
      <c r="A3" s="79" t="s">
        <v>46</v>
      </c>
      <c r="B3" s="80"/>
      <c r="C3" s="80"/>
    </row>
    <row r="5" spans="1:5" ht="30" customHeight="1">
      <c r="A5" s="81" t="s">
        <v>0</v>
      </c>
    </row>
    <row r="6" spans="1:5" ht="30">
      <c r="A6" s="5" t="s">
        <v>6</v>
      </c>
      <c r="B6" s="97" t="s">
        <v>47</v>
      </c>
      <c r="D6" s="5"/>
      <c r="E6" s="49" t="s">
        <v>48</v>
      </c>
    </row>
    <row r="7" spans="1:5">
      <c r="A7" s="5" t="s">
        <v>49</v>
      </c>
      <c r="B7" s="5">
        <v>252</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2024</v>
      </c>
    </row>
    <row r="14" spans="1:5">
      <c r="A14" s="5" t="s">
        <v>59</v>
      </c>
      <c r="B14" s="5" t="s">
        <v>60</v>
      </c>
    </row>
    <row r="15" spans="1:5">
      <c r="A15" s="85" t="s">
        <v>61</v>
      </c>
      <c r="B15" s="8" t="s">
        <v>62</v>
      </c>
    </row>
    <row r="16" spans="1:5">
      <c r="A16" s="85" t="s">
        <v>63</v>
      </c>
      <c r="B16" s="8">
        <v>0.99</v>
      </c>
    </row>
    <row r="17" spans="1:2">
      <c r="A17" s="86" t="s">
        <v>64</v>
      </c>
      <c r="B17" s="8">
        <v>31</v>
      </c>
    </row>
    <row r="18" spans="1:2">
      <c r="A18" s="86" t="s">
        <v>65</v>
      </c>
      <c r="B18" s="8">
        <v>34</v>
      </c>
    </row>
    <row r="19" spans="1:2">
      <c r="A19" s="76" t="s">
        <v>66</v>
      </c>
      <c r="B19" s="77">
        <f>VLOOKUP(B14,'Service Life'!C6:D8,2,FALSE)</f>
        <v>20</v>
      </c>
    </row>
    <row r="21" spans="1:2">
      <c r="A21" s="81" t="s">
        <v>67</v>
      </c>
    </row>
    <row r="22" spans="1:2" ht="20.25" customHeight="1">
      <c r="A22" s="86" t="s">
        <v>68</v>
      </c>
      <c r="B22" s="95">
        <v>24125</v>
      </c>
    </row>
    <row r="23" spans="1:2" ht="28.9">
      <c r="A23" s="94" t="s">
        <v>69</v>
      </c>
      <c r="B23" s="96">
        <v>26969</v>
      </c>
    </row>
    <row r="24" spans="1:2" ht="28.9">
      <c r="A24" s="94" t="s">
        <v>70</v>
      </c>
      <c r="B24" s="96">
        <v>44189</v>
      </c>
    </row>
    <row r="27" spans="1:2" ht="18">
      <c r="A27" s="79" t="s">
        <v>71</v>
      </c>
      <c r="B27" s="80"/>
    </row>
    <row r="29" spans="1:2">
      <c r="A29" s="87" t="s">
        <v>72</v>
      </c>
    </row>
    <row r="30" spans="1:2">
      <c r="A30" s="84" t="s">
        <v>73</v>
      </c>
      <c r="B30" s="35">
        <f>'Benefit Calculations'!M37</f>
        <v>1514.8141602084495</v>
      </c>
    </row>
    <row r="31" spans="1:2">
      <c r="A31" s="84" t="s">
        <v>74</v>
      </c>
      <c r="B31" s="35">
        <f>'Benefit Calculations'!Q37</f>
        <v>250.5280613098158</v>
      </c>
    </row>
    <row r="32" spans="1:2">
      <c r="B32" s="88"/>
    </row>
    <row r="33" spans="1:9">
      <c r="A33" s="87" t="s">
        <v>75</v>
      </c>
      <c r="B33" s="88"/>
    </row>
    <row r="34" spans="1:9">
      <c r="A34" s="84" t="s">
        <v>76</v>
      </c>
      <c r="B34" s="35">
        <f>$B$30+$B$31</f>
        <v>1765.3422215182652</v>
      </c>
    </row>
    <row r="35" spans="1:9">
      <c r="I35" s="89"/>
    </row>
    <row r="36" spans="1:9">
      <c r="A36" s="87" t="s">
        <v>77</v>
      </c>
    </row>
    <row r="37" spans="1:9">
      <c r="A37" s="84" t="s">
        <v>78</v>
      </c>
      <c r="B37" s="91">
        <f>'Benefit Calculations'!K37</f>
        <v>0.55794735508370663</v>
      </c>
    </row>
    <row r="38" spans="1:9">
      <c r="A38" s="84" t="s">
        <v>79</v>
      </c>
      <c r="B38" s="91">
        <f>'Benefit Calculations'!O37</f>
        <v>0.36368009230248943</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9.2490501701799996E-2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2.2393299266700001E-2</v>
      </c>
      <c r="F4" s="54">
        <v>2018</v>
      </c>
      <c r="G4" s="63">
        <f>'Inputs &amp; Outputs'!B22</f>
        <v>24125</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8.9428603649100005E-2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2.0397499203700001E-2</v>
      </c>
      <c r="F5" s="54">
        <f t="shared" ref="F5:F36" si="2">F4+1</f>
        <v>2019</v>
      </c>
      <c r="G5" s="63">
        <f>G4+G4*H5</f>
        <v>24512.141422994897</v>
      </c>
      <c r="H5" s="62">
        <f>$C$9</f>
        <v>1.6047312870254737E-2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24905.495425529629</v>
      </c>
      <c r="H6" s="62">
        <f t="shared" ref="H6:H11" si="7">$C$9</f>
        <v>1.6047312870254737E-2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25305.161702811802</v>
      </c>
      <c r="H7" s="62">
        <f t="shared" si="7"/>
        <v>1.6047312870254737E-2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25711.241549889211</v>
      </c>
      <c r="H8" s="62">
        <f t="shared" si="7"/>
        <v>1.6047312870254737E-2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1.6047312870254737E-2</v>
      </c>
      <c r="F9" s="54">
        <f t="shared" si="2"/>
        <v>2023</v>
      </c>
      <c r="G9" s="63">
        <f t="shared" si="6"/>
        <v>26123.837887322978</v>
      </c>
      <c r="H9" s="62">
        <f t="shared" si="7"/>
        <v>1.6047312870254737E-2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1.9947864999336318E-2</v>
      </c>
      <c r="F10" s="54">
        <f t="shared" si="2"/>
        <v>2024</v>
      </c>
      <c r="G10" s="63">
        <f t="shared" si="6"/>
        <v>26543.055287272666</v>
      </c>
      <c r="H10" s="62">
        <f t="shared" si="7"/>
        <v>1.6047312870254737E-2</v>
      </c>
      <c r="I10" s="54">
        <f>IF(AND(F10&gt;='Inputs &amp; Outputs'!B$13,F10&lt;'Inputs &amp; Outputs'!B$13+'Inputs &amp; Outputs'!B$19),1,0)</f>
        <v>1</v>
      </c>
      <c r="J10" s="55">
        <f>I10*'Inputs &amp; Outputs'!B$16*'Benefit Calculations'!G10*('Benefit Calculations'!C$4-'Benefit Calculations'!C$5)</f>
        <v>80.459408003840281</v>
      </c>
      <c r="K10" s="71">
        <f t="shared" si="3"/>
        <v>2.3059760843443529E-2</v>
      </c>
      <c r="L10" s="56">
        <f>K10*'Assumed Values'!$C$8</f>
        <v>173.13268441257401</v>
      </c>
      <c r="M10" s="57">
        <f t="shared" si="0"/>
        <v>115.36561794679702</v>
      </c>
      <c r="N10" s="55">
        <f>I10*'Inputs &amp; Outputs'!B$16*'Benefit Calculations'!G10*('Benefit Calculations'!D$4-'Benefit Calculations'!D$5)</f>
        <v>52.444885100405756</v>
      </c>
      <c r="O10" s="71">
        <f t="shared" si="4"/>
        <v>1.5030765672791293E-2</v>
      </c>
      <c r="P10" s="56">
        <f>ABS(O10*'Assumed Values'!$C$7)</f>
        <v>28.633608606667412</v>
      </c>
      <c r="Q10" s="57">
        <f t="shared" si="1"/>
        <v>19.079782434858398</v>
      </c>
      <c r="T10" s="68">
        <f t="shared" si="5"/>
        <v>2.0919446080998473E-2</v>
      </c>
      <c r="U10" s="69">
        <f>T10*'Assumed Values'!$D$8</f>
        <v>0</v>
      </c>
    </row>
    <row r="11" spans="2:21">
      <c r="B11" s="15" t="s">
        <v>100</v>
      </c>
      <c r="C11" s="53">
        <f>('Inputs &amp; Outputs'!B24/'Inputs &amp; Outputs'!B22)^(1/(2045-2018))-1</f>
        <v>2.2668946136810586E-2</v>
      </c>
      <c r="F11" s="54">
        <f t="shared" si="2"/>
        <v>2025</v>
      </c>
      <c r="G11" s="63">
        <f>'Inputs &amp; Outputs'!$B$23</f>
        <v>26969</v>
      </c>
      <c r="H11" s="62">
        <f t="shared" si="7"/>
        <v>1.6047312870254737E-2</v>
      </c>
      <c r="I11" s="54">
        <f>IF(AND(F11&gt;='Inputs &amp; Outputs'!B$13,F11&lt;'Inputs &amp; Outputs'!B$13+'Inputs &amp; Outputs'!B$19),1,0)</f>
        <v>1</v>
      </c>
      <c r="J11" s="55">
        <f>I11*'Inputs &amp; Outputs'!B$16*'Benefit Calculations'!G11*('Benefit Calculations'!C$4-'Benefit Calculations'!C$5)</f>
        <v>81.750565297433397</v>
      </c>
      <c r="K11" s="71">
        <f t="shared" si="3"/>
        <v>2.3429808040411518E-2</v>
      </c>
      <c r="L11" s="56">
        <f>K11*'Assumed Values'!$C$8</f>
        <v>175.91099876740967</v>
      </c>
      <c r="M11" s="57">
        <f t="shared" si="0"/>
        <v>109.548529077065</v>
      </c>
      <c r="N11" s="55">
        <f>I11*'Inputs &amp; Outputs'!B$16*'Benefit Calculations'!G11*('Benefit Calculations'!D$4-'Benefit Calculations'!D$5)</f>
        <v>53.286484580056531</v>
      </c>
      <c r="O11" s="71">
        <f t="shared" si="4"/>
        <v>1.5271969072222061E-2</v>
      </c>
      <c r="P11" s="56">
        <f>ABS(O11*'Assumed Values'!$C$7)</f>
        <v>29.093101082583026</v>
      </c>
      <c r="Q11" s="57">
        <f t="shared" si="1"/>
        <v>18.117721189800896</v>
      </c>
      <c r="T11" s="68">
        <f t="shared" si="5"/>
        <v>2.1255146977332683E-2</v>
      </c>
      <c r="U11" s="69">
        <f>T11*'Assumed Values'!$D$8</f>
        <v>0</v>
      </c>
    </row>
    <row r="12" spans="2:21">
      <c r="C12" s="38"/>
      <c r="F12" s="54">
        <f t="shared" si="2"/>
        <v>2026</v>
      </c>
      <c r="G12" s="63">
        <f t="shared" si="6"/>
        <v>27506.973971167103</v>
      </c>
      <c r="H12" s="62">
        <f>$C$10</f>
        <v>1.9947864999336318E-2</v>
      </c>
      <c r="I12" s="54">
        <f>IF(AND(F12&gt;='Inputs &amp; Outputs'!B$13,F12&lt;'Inputs &amp; Outputs'!B$13+'Inputs &amp; Outputs'!B$19),1,0)</f>
        <v>1</v>
      </c>
      <c r="J12" s="55">
        <f>I12*'Inputs &amp; Outputs'!B$16*'Benefit Calculations'!G12*('Benefit Calculations'!C$4-'Benefit Calculations'!C$5)</f>
        <v>83.381314537606016</v>
      </c>
      <c r="K12" s="71">
        <f t="shared" si="3"/>
        <v>2.3897182688162009E-2</v>
      </c>
      <c r="L12" s="56">
        <f>K12*'Assumed Values'!$C$8</f>
        <v>179.42004762272038</v>
      </c>
      <c r="M12" s="57">
        <f t="shared" si="0"/>
        <v>104.42410125791604</v>
      </c>
      <c r="N12" s="55">
        <f>I12*'Inputs &amp; Outputs'!B$16*'Benefit Calculations'!G12*('Benefit Calculations'!D$4-'Benefit Calculations'!D$5)</f>
        <v>54.349436180748718</v>
      </c>
      <c r="O12" s="71">
        <f t="shared" si="4"/>
        <v>1.5576612249548786E-2</v>
      </c>
      <c r="P12" s="56">
        <f>ABS(O12*'Assumed Values'!$C$7)</f>
        <v>29.673446335390437</v>
      </c>
      <c r="Q12" s="57">
        <f t="shared" si="1"/>
        <v>17.270215931019308</v>
      </c>
      <c r="T12" s="68">
        <f t="shared" si="5"/>
        <v>2.1679141779777564E-2</v>
      </c>
      <c r="U12" s="69">
        <f>T12*'Assumed Values'!$D$8</f>
        <v>0</v>
      </c>
    </row>
    <row r="13" spans="2:21">
      <c r="C13" s="38"/>
      <c r="F13" s="54">
        <f t="shared" si="2"/>
        <v>2027</v>
      </c>
      <c r="G13" s="63">
        <f t="shared" si="6"/>
        <v>28055.679374484203</v>
      </c>
      <c r="H13" s="62">
        <f t="shared" ref="H13:H36" si="8">$C$10</f>
        <v>1.9947864999336318E-2</v>
      </c>
      <c r="I13" s="54">
        <f>IF(AND(F13&gt;='Inputs &amp; Outputs'!B$13,F13&lt;'Inputs &amp; Outputs'!B$13+'Inputs &amp; Outputs'!B$19),1,0)</f>
        <v>1</v>
      </c>
      <c r="J13" s="55">
        <f>I13*'Inputs &amp; Outputs'!B$16*'Benefit Calculations'!G13*('Benefit Calculations'!C$4-'Benefit Calculations'!C$5)</f>
        <v>85.044593743469392</v>
      </c>
      <c r="K13" s="71">
        <f t="shared" si="3"/>
        <v>2.4373880462289946E-2</v>
      </c>
      <c r="L13" s="56">
        <f>K13*'Assumed Values'!$C$8</f>
        <v>182.99909451087291</v>
      </c>
      <c r="M13" s="57">
        <f t="shared" si="0"/>
        <v>99.539382366809321</v>
      </c>
      <c r="N13" s="55">
        <f>I13*'Inputs &amp; Outputs'!B$16*'Benefit Calculations'!G13*('Benefit Calculations'!D$4-'Benefit Calculations'!D$5)</f>
        <v>55.433591396472337</v>
      </c>
      <c r="O13" s="71">
        <f t="shared" si="4"/>
        <v>1.5887332407849796E-2</v>
      </c>
      <c r="P13" s="56">
        <f>ABS(O13*'Assumed Values'!$C$7)</f>
        <v>30.265368236953861</v>
      </c>
      <c r="Q13" s="57">
        <f t="shared" si="1"/>
        <v>16.46235501581371</v>
      </c>
      <c r="T13" s="68">
        <f t="shared" si="5"/>
        <v>2.2111594373302044E-2</v>
      </c>
      <c r="U13" s="69">
        <f>T13*'Assumed Values'!$D$8</f>
        <v>0</v>
      </c>
    </row>
    <row r="14" spans="2:21">
      <c r="C14" s="38"/>
      <c r="F14" s="54">
        <f t="shared" si="2"/>
        <v>2028</v>
      </c>
      <c r="G14" s="63">
        <f t="shared" si="6"/>
        <v>28615.33027911108</v>
      </c>
      <c r="H14" s="62">
        <f t="shared" si="8"/>
        <v>1.9947864999336318E-2</v>
      </c>
      <c r="I14" s="54">
        <f>IF(AND(F14&gt;='Inputs &amp; Outputs'!B$13,F14&lt;'Inputs &amp; Outputs'!B$13+'Inputs &amp; Outputs'!B$19),1,0)</f>
        <v>1</v>
      </c>
      <c r="J14" s="55">
        <f>I14*'Inputs &amp; Outputs'!B$16*'Benefit Calculations'!G14*('Benefit Calculations'!C$4-'Benefit Calculations'!C$5)</f>
        <v>86.741051818387518</v>
      </c>
      <c r="K14" s="71">
        <f t="shared" si="3"/>
        <v>2.4860087339261667E-2</v>
      </c>
      <c r="L14" s="56">
        <f>K14*'Assumed Values'!$C$8</f>
        <v>186.64953574317659</v>
      </c>
      <c r="M14" s="57">
        <f t="shared" si="0"/>
        <v>94.883159372317522</v>
      </c>
      <c r="N14" s="55">
        <f>I14*'Inputs &amp; Outputs'!B$16*'Benefit Calculations'!G14*('Benefit Calculations'!D$4-'Benefit Calculations'!D$5)</f>
        <v>56.539373194077548</v>
      </c>
      <c r="O14" s="71">
        <f t="shared" si="4"/>
        <v>1.6204250769921165E-2</v>
      </c>
      <c r="P14" s="56">
        <f>ABS(O14*'Assumed Values'!$C$7)</f>
        <v>30.86909771669982</v>
      </c>
      <c r="Q14" s="57">
        <f t="shared" si="1"/>
        <v>15.692283973121787</v>
      </c>
      <c r="T14" s="68">
        <f t="shared" si="5"/>
        <v>2.2552673472780758E-2</v>
      </c>
      <c r="U14" s="69">
        <f>T14*'Assumed Values'!$D$8</f>
        <v>0</v>
      </c>
    </row>
    <row r="15" spans="2:21">
      <c r="C15" s="1"/>
      <c r="F15" s="54">
        <f t="shared" si="2"/>
        <v>2029</v>
      </c>
      <c r="G15" s="63">
        <f t="shared" si="6"/>
        <v>29186.14502443021</v>
      </c>
      <c r="H15" s="62">
        <f t="shared" si="8"/>
        <v>1.9947864999336318E-2</v>
      </c>
      <c r="I15" s="54">
        <f>IF(AND(F15&gt;='Inputs &amp; Outputs'!B$13,F15&lt;'Inputs &amp; Outputs'!B$13+'Inputs &amp; Outputs'!B$19),1,0)</f>
        <v>1</v>
      </c>
      <c r="J15" s="55">
        <f>I15*'Inputs &amp; Outputs'!B$16*'Benefit Calculations'!G15*('Benefit Calculations'!C$4-'Benefit Calculations'!C$5)</f>
        <v>88.471350609961164</v>
      </c>
      <c r="K15" s="71">
        <f t="shared" si="3"/>
        <v>2.535599300537697E-2</v>
      </c>
      <c r="L15" s="56">
        <f>K15*'Assumed Values'!$C$8</f>
        <v>190.3727954843703</v>
      </c>
      <c r="M15" s="57">
        <f t="shared" si="0"/>
        <v>90.444743762791617</v>
      </c>
      <c r="N15" s="55">
        <f>I15*'Inputs &amp; Outputs'!B$16*'Benefit Calculations'!G15*('Benefit Calculations'!D$4-'Benefit Calculations'!D$5)</f>
        <v>57.667212977700103</v>
      </c>
      <c r="O15" s="71">
        <f t="shared" si="4"/>
        <v>1.6527490976694946E-2</v>
      </c>
      <c r="P15" s="56">
        <f>ABS(O15*'Assumed Values'!$C$7)</f>
        <v>31.484870310603871</v>
      </c>
      <c r="Q15" s="57">
        <f t="shared" si="1"/>
        <v>14.958235079765297</v>
      </c>
      <c r="T15" s="68">
        <f t="shared" si="5"/>
        <v>2.3002551158589905E-2</v>
      </c>
      <c r="U15" s="69">
        <f>T15*'Assumed Values'!$D$8</f>
        <v>0</v>
      </c>
    </row>
    <row r="16" spans="2:21">
      <c r="C16" s="1"/>
      <c r="F16" s="54">
        <f t="shared" si="2"/>
        <v>2030</v>
      </c>
      <c r="G16" s="63">
        <f t="shared" si="6"/>
        <v>29768.346305228595</v>
      </c>
      <c r="H16" s="62">
        <f t="shared" si="8"/>
        <v>1.9947864999336318E-2</v>
      </c>
      <c r="I16" s="54">
        <f>IF(AND(F16&gt;='Inputs &amp; Outputs'!B$13,F16&lt;'Inputs &amp; Outputs'!B$13+'Inputs &amp; Outputs'!B$19),1,0)</f>
        <v>1</v>
      </c>
      <c r="J16" s="55">
        <f>I16*'Inputs &amp; Outputs'!B$16*'Benefit Calculations'!G16*('Benefit Calculations'!C$4-'Benefit Calculations'!C$5)</f>
        <v>90.236165168237605</v>
      </c>
      <c r="K16" s="71">
        <f t="shared" si="3"/>
        <v>2.5861790930772344E-2</v>
      </c>
      <c r="L16" s="56">
        <f>K16*'Assumed Values'!$C$8</f>
        <v>194.17032630823877</v>
      </c>
      <c r="M16" s="57">
        <f t="shared" si="0"/>
        <v>86.213947010533985</v>
      </c>
      <c r="N16" s="55">
        <f>I16*'Inputs &amp; Outputs'!B$16*'Benefit Calculations'!G16*('Benefit Calculations'!D$4-'Benefit Calculations'!D$5)</f>
        <v>58.817550757067238</v>
      </c>
      <c r="O16" s="71">
        <f t="shared" si="4"/>
        <v>1.6857179135475804E-2</v>
      </c>
      <c r="P16" s="56">
        <f>ABS(O16*'Assumed Values'!$C$7)</f>
        <v>32.112926253081405</v>
      </c>
      <c r="Q16" s="57">
        <f t="shared" si="1"/>
        <v>14.258523302583919</v>
      </c>
      <c r="T16" s="68">
        <f t="shared" si="5"/>
        <v>2.3461402943741778E-2</v>
      </c>
      <c r="U16" s="69">
        <f>T16*'Assumed Values'!$D$8</f>
        <v>0</v>
      </c>
    </row>
    <row r="17" spans="3:21">
      <c r="C17" s="1"/>
      <c r="F17" s="54">
        <f t="shared" si="2"/>
        <v>2031</v>
      </c>
      <c r="G17" s="63">
        <f t="shared" si="6"/>
        <v>30362.161258578788</v>
      </c>
      <c r="H17" s="62">
        <f t="shared" si="8"/>
        <v>1.9947864999336318E-2</v>
      </c>
      <c r="I17" s="54">
        <f>IF(AND(F17&gt;='Inputs &amp; Outputs'!B$13,F17&lt;'Inputs &amp; Outputs'!B$13+'Inputs &amp; Outputs'!B$19),1,0)</f>
        <v>1</v>
      </c>
      <c r="J17" s="55">
        <f>I17*'Inputs &amp; Outputs'!B$16*'Benefit Calculations'!G17*('Benefit Calculations'!C$4-'Benefit Calculations'!C$5)</f>
        <v>92.036184009071434</v>
      </c>
      <c r="K17" s="71">
        <f t="shared" si="3"/>
        <v>2.6377678444900455E-2</v>
      </c>
      <c r="L17" s="56">
        <f>K17*'Assumed Values'!$C$8</f>
        <v>198.04360976431261</v>
      </c>
      <c r="M17" s="57">
        <f t="shared" si="0"/>
        <v>82.181057183700972</v>
      </c>
      <c r="N17" s="55">
        <f>I17*'Inputs &amp; Outputs'!B$16*'Benefit Calculations'!G17*('Benefit Calculations'!D$4-'Benefit Calculations'!D$5)</f>
        <v>59.99083531916083</v>
      </c>
      <c r="O17" s="71">
        <f t="shared" si="4"/>
        <v>1.7193443869139902E-2</v>
      </c>
      <c r="P17" s="56">
        <f>ABS(O17*'Assumed Values'!$C$7)</f>
        <v>32.753510570711512</v>
      </c>
      <c r="Q17" s="57">
        <f t="shared" si="1"/>
        <v>13.591542430386683</v>
      </c>
      <c r="T17" s="68">
        <f t="shared" si="5"/>
        <v>2.3929407842358575E-2</v>
      </c>
      <c r="U17" s="69">
        <f>T17*'Assumed Values'!$D$8</f>
        <v>0</v>
      </c>
    </row>
    <row r="18" spans="3:21">
      <c r="F18" s="54">
        <f t="shared" si="2"/>
        <v>2032</v>
      </c>
      <c r="G18" s="63">
        <f t="shared" si="6"/>
        <v>30967.821552452995</v>
      </c>
      <c r="H18" s="62">
        <f t="shared" si="8"/>
        <v>1.9947864999336318E-2</v>
      </c>
      <c r="I18" s="54">
        <f>IF(AND(F18&gt;='Inputs &amp; Outputs'!B$13,F18&lt;'Inputs &amp; Outputs'!B$13+'Inputs &amp; Outputs'!B$19),1,0)</f>
        <v>1</v>
      </c>
      <c r="J18" s="55">
        <f>I18*'Inputs &amp; Outputs'!B$16*'Benefit Calculations'!G18*('Benefit Calculations'!C$4-'Benefit Calculations'!C$5)</f>
        <v>93.872109382738458</v>
      </c>
      <c r="K18" s="71">
        <f t="shared" si="3"/>
        <v>2.6903856813515228E-2</v>
      </c>
      <c r="L18" s="56">
        <f>K18*'Assumed Values'!$C$8</f>
        <v>201.99415695587234</v>
      </c>
      <c r="M18" s="57">
        <f t="shared" si="0"/>
        <v>78.336816652246895</v>
      </c>
      <c r="N18" s="55">
        <f>I18*'Inputs &amp; Outputs'!B$16*'Benefit Calculations'!G18*('Benefit Calculations'!D$4-'Benefit Calculations'!D$5)</f>
        <v>61.187524403304856</v>
      </c>
      <c r="O18" s="71">
        <f t="shared" si="4"/>
        <v>1.7536416366315172E-2</v>
      </c>
      <c r="P18" s="56">
        <f>ABS(O18*'Assumed Values'!$C$7)</f>
        <v>33.406873177830406</v>
      </c>
      <c r="Q18" s="57">
        <f t="shared" si="1"/>
        <v>12.955761386841861</v>
      </c>
      <c r="T18" s="68">
        <f t="shared" si="5"/>
        <v>2.4406748439511999E-2</v>
      </c>
      <c r="U18" s="69">
        <f>T18*'Assumed Values'!$D$8</f>
        <v>0</v>
      </c>
    </row>
    <row r="19" spans="3:21">
      <c r="F19" s="54">
        <f t="shared" si="2"/>
        <v>2033</v>
      </c>
      <c r="G19" s="63">
        <f t="shared" si="6"/>
        <v>31585.563476104864</v>
      </c>
      <c r="H19" s="62">
        <f t="shared" si="8"/>
        <v>1.9947864999336318E-2</v>
      </c>
      <c r="I19" s="54">
        <f>IF(AND(F19&gt;='Inputs &amp; Outputs'!B$13,F19&lt;'Inputs &amp; Outputs'!B$13+'Inputs &amp; Outputs'!B$19),1,0)</f>
        <v>1</v>
      </c>
      <c r="J19" s="55">
        <f>I19*'Inputs &amp; Outputs'!B$16*'Benefit Calculations'!G19*('Benefit Calculations'!C$4-'Benefit Calculations'!C$5)</f>
        <v>95.744657547908247</v>
      </c>
      <c r="K19" s="71">
        <f t="shared" si="3"/>
        <v>2.74405313171927E-2</v>
      </c>
      <c r="L19" s="56">
        <f>K19*'Assumed Values'!$C$8</f>
        <v>206.02350912948279</v>
      </c>
      <c r="M19" s="57">
        <f t="shared" si="0"/>
        <v>74.672400836732379</v>
      </c>
      <c r="N19" s="55">
        <f>I19*'Inputs &amp; Outputs'!B$16*'Benefit Calculations'!G19*('Benefit Calculations'!D$4-'Benefit Calculations'!D$5)</f>
        <v>62.40808487974558</v>
      </c>
      <c r="O19" s="71">
        <f t="shared" si="4"/>
        <v>1.7886230432562579E-2</v>
      </c>
      <c r="P19" s="56">
        <f>ABS(O19*'Assumed Values'!$C$7)</f>
        <v>34.073268974031713</v>
      </c>
      <c r="Q19" s="57">
        <f t="shared" si="1"/>
        <v>12.349720715841302</v>
      </c>
      <c r="T19" s="68">
        <f t="shared" si="5"/>
        <v>2.4893610962456143E-2</v>
      </c>
      <c r="U19" s="69">
        <f>T19*'Assumed Values'!$D$8</f>
        <v>0</v>
      </c>
    </row>
    <row r="20" spans="3:21">
      <c r="F20" s="54">
        <f t="shared" si="2"/>
        <v>2034</v>
      </c>
      <c r="G20" s="63">
        <f t="shared" si="6"/>
        <v>32215.628032254172</v>
      </c>
      <c r="H20" s="62">
        <f t="shared" si="8"/>
        <v>1.9947864999336318E-2</v>
      </c>
      <c r="I20" s="54">
        <f>IF(AND(F20&gt;='Inputs &amp; Outputs'!B$13,F20&lt;'Inputs &amp; Outputs'!B$13+'Inputs &amp; Outputs'!B$19),1,0)</f>
        <v>1</v>
      </c>
      <c r="J20" s="55">
        <f>I20*'Inputs &amp; Outputs'!B$16*'Benefit Calculations'!G20*('Benefit Calculations'!C$4-'Benefit Calculations'!C$5)</f>
        <v>97.65455905108162</v>
      </c>
      <c r="K20" s="71">
        <f t="shared" si="3"/>
        <v>2.7987911331418126E-2</v>
      </c>
      <c r="L20" s="56">
        <f>K20*'Assumed Values'!$C$8</f>
        <v>210.1332382762873</v>
      </c>
      <c r="M20" s="57">
        <f t="shared" si="0"/>
        <v>71.179397951214838</v>
      </c>
      <c r="N20" s="55">
        <f>I20*'Inputs &amp; Outputs'!B$16*'Benefit Calculations'!G20*('Benefit Calculations'!D$4-'Benefit Calculations'!D$5)</f>
        <v>63.652992931793868</v>
      </c>
      <c r="O20" s="71">
        <f t="shared" si="4"/>
        <v>1.8243022542578358E-2</v>
      </c>
      <c r="P20" s="56">
        <f>ABS(O20*'Assumed Values'!$C$7)</f>
        <v>34.752957943611776</v>
      </c>
      <c r="Q20" s="57">
        <f t="shared" si="1"/>
        <v>11.772029231271416</v>
      </c>
      <c r="T20" s="68">
        <f t="shared" si="5"/>
        <v>2.5390185353281219E-2</v>
      </c>
      <c r="U20" s="69">
        <f>T20*'Assumed Values'!$D$8</f>
        <v>0</v>
      </c>
    </row>
    <row r="21" spans="3:21">
      <c r="F21" s="54">
        <f t="shared" si="2"/>
        <v>2035</v>
      </c>
      <c r="G21" s="63">
        <f t="shared" si="6"/>
        <v>32858.261031110414</v>
      </c>
      <c r="H21" s="62">
        <f t="shared" si="8"/>
        <v>1.9947864999336318E-2</v>
      </c>
      <c r="I21" s="54">
        <f>IF(AND(F21&gt;='Inputs &amp; Outputs'!B$13,F21&lt;'Inputs &amp; Outputs'!B$13+'Inputs &amp; Outputs'!B$19),1,0)</f>
        <v>1</v>
      </c>
      <c r="J21" s="55">
        <f>I21*'Inputs &amp; Outputs'!B$16*'Benefit Calculations'!G21*('Benefit Calculations'!C$4-'Benefit Calculations'!C$5)</f>
        <v>99.602559011602324</v>
      </c>
      <c r="K21" s="71">
        <f t="shared" si="3"/>
        <v>2.8546210408270652E-2</v>
      </c>
      <c r="L21" s="56">
        <f>K21*'Assumed Values'!$C$8</f>
        <v>214.32494774529607</v>
      </c>
      <c r="M21" s="57">
        <f t="shared" si="0"/>
        <v>67.849789693719359</v>
      </c>
      <c r="N21" s="55">
        <f>I21*'Inputs &amp; Outputs'!B$16*'Benefit Calculations'!G21*('Benefit Calculations'!D$4-'Benefit Calculations'!D$5)</f>
        <v>64.922734241601006</v>
      </c>
      <c r="O21" s="71">
        <f t="shared" si="4"/>
        <v>1.860693189343756E-2</v>
      </c>
      <c r="P21" s="56">
        <f>ABS(O21*'Assumed Values'!$C$7)</f>
        <v>35.446205256998553</v>
      </c>
      <c r="Q21" s="57">
        <f t="shared" si="1"/>
        <v>11.221360823500055</v>
      </c>
      <c r="T21" s="68">
        <f t="shared" si="5"/>
        <v>2.5896665343016604E-2</v>
      </c>
      <c r="U21" s="69">
        <f>T21*'Assumed Values'!$D$8</f>
        <v>0</v>
      </c>
    </row>
    <row r="22" spans="3:21">
      <c r="F22" s="54">
        <f t="shared" si="2"/>
        <v>2036</v>
      </c>
      <c r="G22" s="63">
        <f t="shared" si="6"/>
        <v>33513.713186271962</v>
      </c>
      <c r="H22" s="62">
        <f t="shared" si="8"/>
        <v>1.9947864999336318E-2</v>
      </c>
      <c r="I22" s="54">
        <f>IF(AND(F22&gt;='Inputs &amp; Outputs'!B$13,F22&lt;'Inputs &amp; Outputs'!B$13+'Inputs &amp; Outputs'!B$19),1,0)</f>
        <v>1</v>
      </c>
      <c r="J22" s="55">
        <f>I22*'Inputs &amp; Outputs'!B$16*'Benefit Calculations'!G22*('Benefit Calculations'!C$4-'Benefit Calculations'!C$5)</f>
        <v>101.58941741235419</v>
      </c>
      <c r="K22" s="71">
        <f t="shared" si="3"/>
        <v>2.9115646359737485E-2</v>
      </c>
      <c r="L22" s="56">
        <f>K22*'Assumed Values'!$C$8</f>
        <v>218.60027286890903</v>
      </c>
      <c r="M22" s="57">
        <f t="shared" si="0"/>
        <v>64.675932839965455</v>
      </c>
      <c r="N22" s="55">
        <f>I22*'Inputs &amp; Outputs'!B$16*'Benefit Calculations'!G22*('Benefit Calculations'!D$4-'Benefit Calculations'!D$5)</f>
        <v>66.217804179640254</v>
      </c>
      <c r="O22" s="71">
        <f t="shared" si="4"/>
        <v>1.8978100458899701E-2</v>
      </c>
      <c r="P22" s="56">
        <f>ABS(O22*'Assumed Values'!$C$7)</f>
        <v>36.153281374203928</v>
      </c>
      <c r="Q22" s="57">
        <f t="shared" si="1"/>
        <v>10.696451415248669</v>
      </c>
      <c r="T22" s="68">
        <f t="shared" si="5"/>
        <v>2.641324852721209E-2</v>
      </c>
      <c r="U22" s="69">
        <f>T22*'Assumed Values'!$D$8</f>
        <v>0</v>
      </c>
    </row>
    <row r="23" spans="3:21">
      <c r="F23" s="54">
        <f t="shared" si="2"/>
        <v>2037</v>
      </c>
      <c r="G23" s="63">
        <f t="shared" si="6"/>
        <v>34182.240212538192</v>
      </c>
      <c r="H23" s="62">
        <f t="shared" si="8"/>
        <v>1.9947864999336318E-2</v>
      </c>
      <c r="I23" s="54">
        <f>IF(AND(F23&gt;='Inputs &amp; Outputs'!B$13,F23&lt;'Inputs &amp; Outputs'!B$13+'Inputs &amp; Outputs'!B$19),1,0)</f>
        <v>1</v>
      </c>
      <c r="J23" s="55">
        <f>I23*'Inputs &amp; Outputs'!B$16*'Benefit Calculations'!G23*('Benefit Calculations'!C$4-'Benefit Calculations'!C$5)</f>
        <v>103.61590939625705</v>
      </c>
      <c r="K23" s="71">
        <f t="shared" si="3"/>
        <v>2.9696441342689943E-2</v>
      </c>
      <c r="L23" s="56">
        <f>K23*'Assumed Values'!$C$8</f>
        <v>222.96088160091608</v>
      </c>
      <c r="M23" s="57">
        <f t="shared" si="0"/>
        <v>61.650541698096461</v>
      </c>
      <c r="N23" s="55">
        <f>I23*'Inputs &amp; Outputs'!B$16*'Benefit Calculations'!G23*('Benefit Calculations'!D$4-'Benefit Calculations'!D$5)</f>
        <v>67.538707997968203</v>
      </c>
      <c r="O23" s="71">
        <f t="shared" si="4"/>
        <v>1.9356673044797674E-2</v>
      </c>
      <c r="P23" s="56">
        <f>ABS(O23*'Assumed Values'!$C$7)</f>
        <v>36.874462150339568</v>
      </c>
      <c r="Q23" s="57">
        <f t="shared" si="1"/>
        <v>10.19609605986169</v>
      </c>
      <c r="T23" s="68">
        <f t="shared" si="5"/>
        <v>2.6940136443026834E-2</v>
      </c>
      <c r="U23" s="69">
        <f>T23*'Assumed Values'!$D$8</f>
        <v>0</v>
      </c>
    </row>
    <row r="24" spans="3:21">
      <c r="F24" s="54">
        <f t="shared" si="2"/>
        <v>2038</v>
      </c>
      <c r="G24" s="63">
        <f t="shared" si="6"/>
        <v>34864.102925672792</v>
      </c>
      <c r="H24" s="62">
        <f t="shared" si="8"/>
        <v>1.9947864999336318E-2</v>
      </c>
      <c r="I24" s="54">
        <f>IF(AND(F24&gt;='Inputs &amp; Outputs'!B$13,F24&lt;'Inputs &amp; Outputs'!B$13+'Inputs &amp; Outputs'!B$19),1,0)</f>
        <v>1</v>
      </c>
      <c r="J24" s="55">
        <f>I24*'Inputs &amp; Outputs'!B$16*'Benefit Calculations'!G24*('Benefit Calculations'!C$4-'Benefit Calculations'!C$5)</f>
        <v>105.68282556867706</v>
      </c>
      <c r="K24" s="71">
        <f t="shared" si="3"/>
        <v>3.0288821945554632E-2</v>
      </c>
      <c r="L24" s="56">
        <f>K24*'Assumed Values'!$C$8</f>
        <v>227.40847516722417</v>
      </c>
      <c r="M24" s="57">
        <f t="shared" si="0"/>
        <v>58.766671384136494</v>
      </c>
      <c r="N24" s="55">
        <f>I24*'Inputs &amp; Outputs'!B$16*'Benefit Calculations'!G24*('Benefit Calculations'!D$4-'Benefit Calculations'!D$5)</f>
        <v>68.885961027341281</v>
      </c>
      <c r="O24" s="71">
        <f t="shared" si="4"/>
        <v>1.9742797345531592E-2</v>
      </c>
      <c r="P24" s="56">
        <f>ABS(O24*'Assumed Values'!$C$7)</f>
        <v>37.610028943237687</v>
      </c>
      <c r="Q24" s="57">
        <f t="shared" si="1"/>
        <v>9.7191461753122237</v>
      </c>
      <c r="T24" s="68">
        <f t="shared" si="5"/>
        <v>2.7477534647856034E-2</v>
      </c>
      <c r="U24" s="69">
        <f>T24*'Assumed Values'!$D$8</f>
        <v>0</v>
      </c>
    </row>
    <row r="25" spans="3:21">
      <c r="F25" s="54">
        <f t="shared" si="2"/>
        <v>2039</v>
      </c>
      <c r="G25" s="63">
        <f t="shared" si="6"/>
        <v>35559.567344157076</v>
      </c>
      <c r="H25" s="62">
        <f t="shared" si="8"/>
        <v>1.9947864999336318E-2</v>
      </c>
      <c r="I25" s="54">
        <f>IF(AND(F25&gt;='Inputs &amp; Outputs'!B$13,F25&lt;'Inputs &amp; Outputs'!B$13+'Inputs &amp; Outputs'!B$19),1,0)</f>
        <v>1</v>
      </c>
      <c r="J25" s="55">
        <f>I25*'Inputs &amp; Outputs'!B$16*'Benefit Calculations'!G25*('Benefit Calculations'!C$4-'Benefit Calculations'!C$5)</f>
        <v>107.79097230586943</v>
      </c>
      <c r="K25" s="71">
        <f t="shared" si="3"/>
        <v>3.089301927671349E-2</v>
      </c>
      <c r="L25" s="56">
        <f>K25*'Assumed Values'!$C$8</f>
        <v>231.94478872956489</v>
      </c>
      <c r="M25" s="57">
        <f t="shared" si="0"/>
        <v>56.017701879782813</v>
      </c>
      <c r="N25" s="55">
        <f>I25*'Inputs &amp; Outputs'!B$16*'Benefit Calculations'!G25*('Benefit Calculations'!D$4-'Benefit Calculations'!D$5)</f>
        <v>70.260088878264213</v>
      </c>
      <c r="O25" s="71">
        <f t="shared" si="4"/>
        <v>2.0136624001689508E-2</v>
      </c>
      <c r="P25" s="56">
        <f>ABS(O25*'Assumed Values'!$C$7)</f>
        <v>38.36026872321851</v>
      </c>
      <c r="Q25" s="57">
        <f t="shared" si="1"/>
        <v>9.2645069075945443</v>
      </c>
      <c r="T25" s="68">
        <f t="shared" si="5"/>
        <v>2.8025652799526051E-2</v>
      </c>
      <c r="U25" s="69">
        <f>T25*'Assumed Values'!$D$8</f>
        <v>0</v>
      </c>
    </row>
    <row r="26" spans="3:21">
      <c r="F26" s="54">
        <f t="shared" si="2"/>
        <v>2040</v>
      </c>
      <c r="G26" s="63">
        <f t="shared" si="6"/>
        <v>36268.904792973131</v>
      </c>
      <c r="H26" s="62">
        <f t="shared" si="8"/>
        <v>1.9947864999336318E-2</v>
      </c>
      <c r="I26" s="54">
        <f>IF(AND(F26&gt;='Inputs &amp; Outputs'!B$13,F26&lt;'Inputs &amp; Outputs'!B$13+'Inputs &amp; Outputs'!B$19),1,0)</f>
        <v>1</v>
      </c>
      <c r="J26" s="55">
        <f>I26*'Inputs &amp; Outputs'!B$16*'Benefit Calculations'!G26*('Benefit Calculations'!C$4-'Benefit Calculations'!C$5)</f>
        <v>109.94117206957414</v>
      </c>
      <c r="K26" s="71">
        <f t="shared" si="3"/>
        <v>3.150926905466727E-2</v>
      </c>
      <c r="L26" s="56">
        <f>K26*'Assumed Values'!$C$8</f>
        <v>236.57159206244185</v>
      </c>
      <c r="M26" s="57">
        <f t="shared" si="0"/>
        <v>53.39732283593812</v>
      </c>
      <c r="N26" s="55">
        <f>I26*'Inputs &amp; Outputs'!B$16*'Benefit Calculations'!G26*('Benefit Calculations'!D$4-'Benefit Calculations'!D$5)</f>
        <v>71.661627646049212</v>
      </c>
      <c r="O26" s="71">
        <f t="shared" si="4"/>
        <v>2.0538306658817611E-2</v>
      </c>
      <c r="P26" s="56">
        <f>ABS(O26*'Assumed Values'!$C$7)</f>
        <v>39.125474185047551</v>
      </c>
      <c r="Q26" s="57">
        <f t="shared" si="1"/>
        <v>8.8311346174510881</v>
      </c>
      <c r="T26" s="68">
        <f t="shared" si="5"/>
        <v>2.8584704738089276E-2</v>
      </c>
      <c r="U26" s="69">
        <f>T26*'Assumed Values'!$D$8</f>
        <v>0</v>
      </c>
    </row>
    <row r="27" spans="3:21">
      <c r="F27" s="54">
        <f t="shared" si="2"/>
        <v>2041</v>
      </c>
      <c r="G27" s="63">
        <f t="shared" si="6"/>
        <v>36992.392009457144</v>
      </c>
      <c r="H27" s="62">
        <f t="shared" si="8"/>
        <v>1.9947864999336318E-2</v>
      </c>
      <c r="I27" s="54">
        <f>IF(AND(F27&gt;='Inputs &amp; Outputs'!B$13,F27&lt;'Inputs &amp; Outputs'!B$13+'Inputs &amp; Outputs'!B$19),1,0)</f>
        <v>1</v>
      </c>
      <c r="J27" s="55">
        <f>I27*'Inputs &amp; Outputs'!B$16*'Benefit Calculations'!G27*('Benefit Calculations'!C$4-'Benefit Calculations'!C$5)</f>
        <v>112.1342637278868</v>
      </c>
      <c r="K27" s="71">
        <f t="shared" si="3"/>
        <v>3.2137811699997541E-2</v>
      </c>
      <c r="L27" s="56">
        <f>K27*'Assumed Values'!$C$8</f>
        <v>241.29069024358154</v>
      </c>
      <c r="M27" s="57">
        <f t="shared" si="0"/>
        <v>50.899519087098504</v>
      </c>
      <c r="N27" s="55">
        <f>I27*'Inputs &amp; Outputs'!B$16*'Benefit Calculations'!G27*('Benefit Calculations'!D$4-'Benefit Calculations'!D$5)</f>
        <v>73.091124119965301</v>
      </c>
      <c r="O27" s="71">
        <f t="shared" si="4"/>
        <v>2.0948002027362671E-2</v>
      </c>
      <c r="P27" s="56">
        <f>ABS(O27*'Assumed Values'!$C$7)</f>
        <v>39.905943862125888</v>
      </c>
      <c r="Q27" s="57">
        <f t="shared" si="1"/>
        <v>8.418034484664453</v>
      </c>
      <c r="T27" s="68">
        <f t="shared" si="5"/>
        <v>2.9154908569250567E-2</v>
      </c>
      <c r="U27" s="69">
        <f>T27*'Assumed Values'!$D$8</f>
        <v>0</v>
      </c>
    </row>
    <row r="28" spans="3:21">
      <c r="F28" s="54">
        <f t="shared" si="2"/>
        <v>2042</v>
      </c>
      <c r="G28" s="63">
        <f t="shared" si="6"/>
        <v>37730.31125126432</v>
      </c>
      <c r="H28" s="62">
        <f t="shared" si="8"/>
        <v>1.9947864999336318E-2</v>
      </c>
      <c r="I28" s="54">
        <f>IF(AND(F28&gt;='Inputs &amp; Outputs'!B$13,F28&lt;'Inputs &amp; Outputs'!B$13+'Inputs &amp; Outputs'!B$19),1,0)</f>
        <v>1</v>
      </c>
      <c r="J28" s="55">
        <f>I28*'Inputs &amp; Outputs'!B$16*'Benefit Calculations'!G28*('Benefit Calculations'!C$4-'Benefit Calculations'!C$5)</f>
        <v>114.37110288253066</v>
      </c>
      <c r="K28" s="71">
        <f t="shared" si="3"/>
        <v>3.2778892429163181E-2</v>
      </c>
      <c r="L28" s="56">
        <f>K28*'Assumed Values'!$C$8</f>
        <v>246.10392435815717</v>
      </c>
      <c r="M28" s="57">
        <f t="shared" si="0"/>
        <v>48.518556843344939</v>
      </c>
      <c r="N28" s="55">
        <f>I28*'Inputs &amp; Outputs'!B$16*'Benefit Calculations'!G28*('Benefit Calculations'!D$4-'Benefit Calculations'!D$5)</f>
        <v>74.549135996560111</v>
      </c>
      <c r="O28" s="71">
        <f t="shared" si="4"/>
        <v>2.1365869943810328E-2</v>
      </c>
      <c r="P28" s="56">
        <f>ABS(O28*'Assumed Values'!$C$7)</f>
        <v>40.701982242958671</v>
      </c>
      <c r="Q28" s="57">
        <f t="shared" si="1"/>
        <v>8.024258224415231</v>
      </c>
      <c r="T28" s="68">
        <f t="shared" si="5"/>
        <v>2.9736486749457974E-2</v>
      </c>
      <c r="U28" s="69">
        <f>T28*'Assumed Values'!$D$8</f>
        <v>0</v>
      </c>
    </row>
    <row r="29" spans="3:21">
      <c r="F29" s="54">
        <f t="shared" si="2"/>
        <v>2043</v>
      </c>
      <c r="G29" s="63">
        <f t="shared" si="6"/>
        <v>38482.950406487478</v>
      </c>
      <c r="H29" s="62">
        <f t="shared" si="8"/>
        <v>1.9947864999336318E-2</v>
      </c>
      <c r="I29" s="54">
        <f>IF(AND(F29&gt;='Inputs &amp; Outputs'!B$13,F29&lt;'Inputs &amp; Outputs'!B$13+'Inputs &amp; Outputs'!B$19),1,0)</f>
        <v>1</v>
      </c>
      <c r="J29" s="55">
        <f>I29*'Inputs &amp; Outputs'!B$16*'Benefit Calculations'!G29*('Benefit Calculations'!C$4-'Benefit Calculations'!C$5)</f>
        <v>116.65256220265658</v>
      </c>
      <c r="K29" s="71">
        <f t="shared" si="3"/>
        <v>3.3432761350167893E-2</v>
      </c>
      <c r="L29" s="56">
        <f>K29*'Assumed Values'!$C$8</f>
        <v>251.01317221706054</v>
      </c>
      <c r="M29" s="57">
        <f t="shared" si="0"/>
        <v>46.248970528241685</v>
      </c>
      <c r="N29" s="55">
        <f>I29*'Inputs &amp; Outputs'!B$16*'Benefit Calculations'!G29*('Benefit Calculations'!D$4-'Benefit Calculations'!D$5)</f>
        <v>76.036232097236649</v>
      </c>
      <c r="O29" s="71">
        <f t="shared" si="4"/>
        <v>2.1792073433042829E-2</v>
      </c>
      <c r="P29" s="56">
        <f>ABS(O29*'Assumed Values'!$C$7)</f>
        <v>41.513899889946593</v>
      </c>
      <c r="Q29" s="57">
        <f t="shared" si="1"/>
        <v>7.6489019104632519</v>
      </c>
      <c r="T29" s="68">
        <f t="shared" si="5"/>
        <v>3.0329666172690711E-2</v>
      </c>
      <c r="U29" s="69">
        <f>T29*'Assumed Values'!$D$8</f>
        <v>0</v>
      </c>
    </row>
    <row r="30" spans="3:21">
      <c r="F30" s="54">
        <f t="shared" si="2"/>
        <v>2044</v>
      </c>
      <c r="G30" s="63">
        <f t="shared" si="6"/>
        <v>39250.603105972245</v>
      </c>
      <c r="H30" s="62">
        <f t="shared" si="8"/>
        <v>1.9947864999336318E-2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44189</v>
      </c>
      <c r="H31" s="62">
        <f t="shared" si="8"/>
        <v>1.9947864999336318E-2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45070.476206455671</v>
      </c>
      <c r="H32" s="62">
        <f t="shared" si="8"/>
        <v>1.9947864999336318E-2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45969.535981277848</v>
      </c>
      <c r="H33" s="62">
        <f t="shared" si="8"/>
        <v>1.9947864999336318E-2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46886.530079114513</v>
      </c>
      <c r="H34" s="62">
        <f t="shared" si="8"/>
        <v>1.9947864999336318E-2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47821.816251420008</v>
      </c>
      <c r="H35" s="62">
        <f t="shared" si="8"/>
        <v>1.9947864999336318E-2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48775.759386026402</v>
      </c>
      <c r="H36" s="62">
        <f t="shared" si="8"/>
        <v>1.9947864999336318E-2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1946.7727437471435</v>
      </c>
      <c r="K37" s="55">
        <f t="shared" ref="K37:Q37" si="9">SUM(K4:K36)</f>
        <v>0.55794735508370663</v>
      </c>
      <c r="L37" s="58">
        <f t="shared" si="9"/>
        <v>4189.0687419684691</v>
      </c>
      <c r="M37" s="59">
        <f t="shared" si="9"/>
        <v>1514.8141602084495</v>
      </c>
      <c r="N37" s="55">
        <f t="shared" si="9"/>
        <v>1268.9413879051599</v>
      </c>
      <c r="O37" s="55">
        <f t="shared" si="9"/>
        <v>0.36368009230248943</v>
      </c>
      <c r="P37" s="55">
        <f t="shared" si="9"/>
        <v>692.81057583624226</v>
      </c>
      <c r="Q37" s="59">
        <f t="shared" si="9"/>
        <v>250.5280613098158</v>
      </c>
      <c r="T37" s="68">
        <f>SUM(T4:T36)</f>
        <v>0.50616091337425728</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115</v>
      </c>
      <c r="E2" s="92" t="s">
        <v>116</v>
      </c>
      <c r="F2" s="92" t="s">
        <v>117</v>
      </c>
      <c r="G2" s="92" t="s">
        <v>118</v>
      </c>
      <c r="H2" s="92" t="s">
        <v>55</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115</v>
      </c>
      <c r="E21" s="92" t="s">
        <v>116</v>
      </c>
      <c r="F21" s="92" t="s">
        <v>117</v>
      </c>
      <c r="G21" s="92" t="s">
        <v>118</v>
      </c>
      <c r="H21" s="92" t="s">
        <v>55</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115</v>
      </c>
      <c r="E2" s="92" t="s">
        <v>116</v>
      </c>
      <c r="F2" s="92" t="s">
        <v>117</v>
      </c>
      <c r="G2" s="92" t="s">
        <v>118</v>
      </c>
      <c r="H2" s="92" t="s">
        <v>55</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115</v>
      </c>
      <c r="E21" s="92" t="s">
        <v>116</v>
      </c>
      <c r="F21" s="92" t="s">
        <v>117</v>
      </c>
      <c r="G21" s="92" t="s">
        <v>118</v>
      </c>
      <c r="H21" s="92" t="s">
        <v>55</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1A505A-110C-4E73-B6CB-141EB2B2D950}"/>
</file>

<file path=customXml/itemProps2.xml><?xml version="1.0" encoding="utf-8"?>
<ds:datastoreItem xmlns:ds="http://schemas.openxmlformats.org/officeDocument/2006/customXml" ds:itemID="{438B2712-262A-4D79-9DFF-89D2B9747AA3}"/>
</file>

<file path=customXml/itemProps3.xml><?xml version="1.0" encoding="utf-8"?>
<ds:datastoreItem xmlns:ds="http://schemas.openxmlformats.org/officeDocument/2006/customXml" ds:itemID="{56A550DC-20E4-492C-80BF-82ED641F41E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2018-10-31T03:34:18Z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