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4_US90/"/>
    </mc:Choice>
  </mc:AlternateContent>
  <xr:revisionPtr revIDLastSave="22" documentId="8_{58E7417F-473D-4618-ABD3-1C948CA1F3D7}" xr6:coauthVersionLast="40" xr6:coauthVersionMax="40" xr10:uidLastSave="{5200C6D8-2CA8-42E1-B910-42B8DAF1BAE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Outputs'!#REF!</definedName>
    <definedName name="_2025_PeakVolume">'Inputs &amp; Outputs'!$B$38</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<sst xmlns="http://schemas.openxmlformats.org/spreadsheetml/2006/main" count="292" uniqueCount="238">
  <si>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</si>
  <si>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</si>
  <si>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</si>
  <si>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</si>
  <si>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</si>
  <si>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</si>
  <si>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</si>
  <si>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</si>
  <si>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</si>
  <si>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</si>
  <si>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</si>
  <si>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</si>
  <si>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</si>
  <si>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</si>
  <si>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</si>
  <si>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</si>
  <si>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</si>
  <si>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</si>
  <si>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</si>
  <si>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</si>
  <si>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</si>
  <si>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</si>
  <si>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</si>
  <si>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</si>
  <si>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</si>
  <si>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</si>
  <si>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</si>
  <si>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</si>
  <si>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</si>
  <si>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</si>
  <si>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</si>
  <si>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</si>
  <si>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</si>
  <si>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</si>
  <si>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</si>
  <si>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</si>
  <si>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</si>
  <si>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</si>
  <si>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</si>
  <si>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</si>
  <si>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</si>
  <si>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</si>
  <si>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</si>
  <si>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</si>
  <si>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</si>
  <si>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</si>
  <si>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</si>
  <si>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</si>
  <si>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</si>
  <si>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US 90 UPRR Overpass</t>
  </si>
  <si>
    <t>Data entered by the sponsors</t>
  </si>
  <si>
    <t>County</t>
  </si>
  <si>
    <t>Liberty</t>
  </si>
  <si>
    <t>HGAC regional travel demand model data provided by HGAC</t>
  </si>
  <si>
    <t>Facility Type</t>
  </si>
  <si>
    <t>Non Freeway</t>
  </si>
  <si>
    <t>Data populated/calculated based on inputs</t>
  </si>
  <si>
    <t>Street Name:</t>
  </si>
  <si>
    <t>US 90</t>
  </si>
  <si>
    <t>Benefits calculated by the template</t>
  </si>
  <si>
    <t>Limits (From)</t>
  </si>
  <si>
    <t>At UP Railroad</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</si>
  <si>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</si>
  <si>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</si>
  <si>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</si>
  <si>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</si>
  <si>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</si>
  <si>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</si>
  <si>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</si>
  <si>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</si>
  <si>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</si>
  <si>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</si>
  <si>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</si>
  <si>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</si>
  <si>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</si>
  <si>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</si>
  <si>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</si>
  <si>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</si>
  <si>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</si>
  <si>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</si>
  <si>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</si>
  <si>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</si>
  <si>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</si>
  <si>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</si>
  <si>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</si>
  <si>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</si>
  <si>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</si>
  <si>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</si>
  <si>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</si>
  <si>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</si>
  <si>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</si>
  <si>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</si>
  <si>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</si>
  <si>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</si>
  <si>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</si>
  <si>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</si>
  <si>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</si>
  <si>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</si>
  <si>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</si>
  <si>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</si>
  <si>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</si>
  <si>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</si>
  <si>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</si>
  <si>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</si>
  <si>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</si>
  <si>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</si>
  <si>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</si>
  <si>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</si>
  <si>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</si>
  <si>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</si>
  <si>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</si>
  <si>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</si>
  <si>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</si>
  <si>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</si>
  <si>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</si>
  <si>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</si>
  <si>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</si>
  <si>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</si>
  <si>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</si>
  <si>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</si>
  <si>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</si>
  <si>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</si>
  <si>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</si>
  <si>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</si>
  <si>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</si>
  <si>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</si>
  <si>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</si>
  <si>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</si>
  <si>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</si>
  <si>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</si>
  <si>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</si>
  <si>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</si>
  <si>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</si>
  <si>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</si>
  <si>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</si>
  <si>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</si>
  <si>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</si>
  <si>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</si>
  <si>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</si>
  <si>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</si>
  <si>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</si>
  <si>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</si>
  <si>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</si>
  <si>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</si>
  <si>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</si>
  <si>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</si>
  <si>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</si>
  <si>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</si>
  <si>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</si>
  <si>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</si>
  <si>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</si>
  <si>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</si>
  <si>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</si>
  <si>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</si>
  <si>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</si>
  <si>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</si>
  <si>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</si>
  <si>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</si>
  <si>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</si>
  <si>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</si>
  <si>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</si>
  <si>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</si>
  <si>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</si>
  <si>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</si>
  <si>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Harris</t>
  </si>
  <si>
    <t xml:space="preserve">Managed HOT/HOV Lanes </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</si>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</sst>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7" zoomScale="115" zoomScaleNormal="115" workbookViewId="0" xr3:uid="{51F8DEE0-4D01-5F28-A812-FC0BD7CAC4A5}">
      <selection activeCell="B13" sqref="B1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0.99</v>
      </c>
    </row>
    <row r="13" spans="1:7">
      <c r="A13" s="7" t="s">
        <v>65</v>
      </c>
      <c r="B13" s="116">
        <v>252</v>
      </c>
      <c r="F13" s="99"/>
    </row>
    <row r="14" spans="1:7">
      <c r="A14" s="7" t="s">
        <v>66</v>
      </c>
      <c r="B14" s="116" t="s">
        <v>67</v>
      </c>
    </row>
    <row r="17" spans="1:7">
      <c r="A17" s="98" t="s">
        <v>68</v>
      </c>
      <c r="E17" s="130" t="s">
        <v>69</v>
      </c>
      <c r="F17" s="131"/>
    </row>
    <row r="18" spans="1:7">
      <c r="A18" s="7" t="s">
        <v>70</v>
      </c>
      <c r="B18" s="117">
        <v>2024</v>
      </c>
      <c r="E18" s="87" t="s">
        <v>71</v>
      </c>
      <c r="F18" s="122">
        <f>$B$12/$B$32</f>
        <v>1.7678571428571429E-2</v>
      </c>
    </row>
    <row r="19" spans="1:7" ht="30">
      <c r="A19" s="7" t="s">
        <v>72</v>
      </c>
      <c r="B19" s="118" t="s">
        <v>73</v>
      </c>
      <c r="E19" s="89" t="s">
        <v>74</v>
      </c>
      <c r="F19" s="123">
        <f>$B$12/$B$33</f>
        <v>2.8285714285714286E-2</v>
      </c>
    </row>
    <row r="20" spans="1:7" ht="30">
      <c r="A20" s="113" t="s">
        <v>75</v>
      </c>
      <c r="B20" s="114">
        <f>VLOOKUP(B19,'Delay Reduction Factors'!B4:C80,2, FALSE)</f>
        <v>0.2</v>
      </c>
      <c r="E20" s="89" t="s">
        <v>76</v>
      </c>
      <c r="F20" s="122">
        <f>$F$19-$F$18</f>
        <v>1.0607142857142857E-2</v>
      </c>
    </row>
    <row r="21" spans="1:7">
      <c r="A21" s="7" t="s">
        <v>77</v>
      </c>
      <c r="B21" s="63">
        <v>30</v>
      </c>
      <c r="D21" s="100"/>
      <c r="E21" s="87" t="s">
        <v>78</v>
      </c>
      <c r="F21" s="122">
        <f>$F$20*$B$20</f>
        <v>2.1214285714285714E-3</v>
      </c>
      <c r="G21" s="101"/>
    </row>
    <row r="22" spans="1:7">
      <c r="D22" s="100"/>
      <c r="E22" s="87" t="s">
        <v>79</v>
      </c>
      <c r="F22" s="122">
        <f>$F$20-$F$21</f>
        <v>8.4857142857142857E-3</v>
      </c>
      <c r="G22" s="101"/>
    </row>
    <row r="23" spans="1:7">
      <c r="E23" s="87" t="s">
        <v>80</v>
      </c>
      <c r="F23" s="122">
        <f>$F$18+$F$22</f>
        <v>2.6164285714285716E-2</v>
      </c>
    </row>
    <row r="24" spans="1:7">
      <c r="A24" s="98" t="s">
        <v>81</v>
      </c>
      <c r="B24" s="102"/>
      <c r="D24" s="100"/>
    </row>
    <row r="25" spans="1:7">
      <c r="A25" s="7" t="s">
        <v>82</v>
      </c>
      <c r="B25" s="126">
        <v>24125</v>
      </c>
      <c r="D25" s="100"/>
    </row>
    <row r="28" spans="1:7">
      <c r="A28" s="87" t="s">
        <v>83</v>
      </c>
      <c r="B28" s="112">
        <f>IF(FacilityType='Delay Reduction Factors'!N5,'Inputs &amp; Outputs'!B25*45%, B25*43%)</f>
        <v>10373.75</v>
      </c>
      <c r="D28" s="100"/>
      <c r="E28" s="103" t="s">
        <v>84</v>
      </c>
      <c r="F28" s="104" t="s">
        <v>2</v>
      </c>
      <c r="G28" s="105" t="s">
        <v>85</v>
      </c>
    </row>
    <row r="29" spans="1:7">
      <c r="A29" s="87" t="s">
        <v>86</v>
      </c>
      <c r="B29" s="95">
        <f>VLOOKUP(Year_Open_to_Traffic?,Calculations!H4:I36,2)</f>
        <v>20131.379072146588</v>
      </c>
      <c r="D29" s="100"/>
      <c r="E29" s="89" t="s">
        <v>87</v>
      </c>
      <c r="F29" s="83">
        <f>$B$29*$F$23</f>
        <v>526.72315386623541</v>
      </c>
      <c r="G29" s="84">
        <f>$B$29*$F$19</f>
        <v>569.43043661214631</v>
      </c>
    </row>
    <row r="30" spans="1:7">
      <c r="B30" s="82"/>
      <c r="D30" s="100"/>
    </row>
    <row r="32" spans="1:7">
      <c r="A32" s="106" t="s">
        <v>88</v>
      </c>
      <c r="B32" s="119">
        <v>56</v>
      </c>
      <c r="D32" s="100"/>
    </row>
    <row r="33" spans="1:7" ht="30">
      <c r="A33" s="107" t="s">
        <v>89</v>
      </c>
      <c r="B33" s="120">
        <v>35</v>
      </c>
      <c r="D33" s="100"/>
      <c r="E33" s="100"/>
      <c r="F33" s="108"/>
    </row>
    <row r="34" spans="1:7">
      <c r="A34" s="109"/>
      <c r="B34" s="121"/>
      <c r="F34" s="108"/>
      <c r="G34" s="108"/>
    </row>
    <row r="35" spans="1:7">
      <c r="A35" s="87" t="s">
        <v>90</v>
      </c>
      <c r="B35" s="125">
        <f>$B$28</f>
        <v>10373.75</v>
      </c>
    </row>
    <row r="36" spans="1:7">
      <c r="A36" s="106" t="s">
        <v>91</v>
      </c>
      <c r="B36" s="119">
        <v>22483.460283640699</v>
      </c>
    </row>
    <row r="37" spans="1:7">
      <c r="A37" s="106" t="s">
        <v>92</v>
      </c>
      <c r="B37" s="119">
        <v>13544.1231484079</v>
      </c>
    </row>
    <row r="38" spans="1:7">
      <c r="A38" s="106" t="s">
        <v>93</v>
      </c>
      <c r="B38" s="119">
        <v>22483.460283640699</v>
      </c>
    </row>
    <row r="39" spans="1:7">
      <c r="A39" s="106" t="s">
        <v>94</v>
      </c>
      <c r="B39" s="119">
        <v>20271.795259669601</v>
      </c>
    </row>
    <row r="40" spans="1:7">
      <c r="A40" s="106" t="s">
        <v>95</v>
      </c>
      <c r="B40" s="119">
        <v>22483.460283640699</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3534.381294125677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136948.02000522122</v>
      </c>
      <c r="F4" s="21">
        <f>'Inputs &amp; Outputs'!G29*Annual_Days_of_Travel</f>
        <v>148051.91351915803</v>
      </c>
      <c r="H4" s="49">
        <v>2018</v>
      </c>
      <c r="I4" s="50">
        <f>'Inputs &amp; Outputs'!B28</f>
        <v>10373.75</v>
      </c>
      <c r="J4" s="50">
        <f>IF(H4=Year_Open_to_Traffic?,$F$4,0)</f>
        <v>0</v>
      </c>
      <c r="K4" s="50">
        <f>IF(H4=Year_Open_to_Traffic?,Calculations!$E$4,0)</f>
        <v>0</v>
      </c>
      <c r="L4" s="50">
        <f>IF(AND(H4&gt;=Year_Open_to_Traffic?, Calculations!H4&lt;Year_Open_to_Traffic?+'Inputs &amp; Outputs'!B$21), 1, 0)</f>
        <v>0</v>
      </c>
      <c r="M4" s="65" t="s">
        <v>111</v>
      </c>
      <c r="N4" s="66">
        <f>MIN(E8,1)</f>
        <v>0.46139472612888216</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0.11683656658914199</v>
      </c>
      <c r="F5" s="26"/>
      <c r="H5" s="14">
        <f t="shared" ref="H5:H36" si="3">H4+1</f>
        <v>2019</v>
      </c>
      <c r="I5" s="79">
        <f>(I4*M5)+I4</f>
        <v>11585.783332654111</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0.11683656658914199</v>
      </c>
      <c r="N5" s="71">
        <f t="shared" ref="N5:N11" si="6">N4*(1+IFERROR(_2018_2025_V_C_Growth,_2018_2045_V_C_Growth))</f>
        <v>0.47298654906659476</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-5.1640908254768636E-3</v>
      </c>
      <c r="F6" s="26"/>
      <c r="H6" s="49">
        <f t="shared" si="3"/>
        <v>2020</v>
      </c>
      <c r="I6" s="79">
        <f t="shared" ref="I6:I36" si="10">(I5*M6)+I5</f>
        <v>12939.426478487125</v>
      </c>
      <c r="J6" s="50">
        <f t="shared" si="4"/>
        <v>0</v>
      </c>
      <c r="K6" s="50">
        <f>IF(H6=Year_Open_to_Traffic?,Calculations!$E$4,K5+(K5*M6))</f>
        <v>0</v>
      </c>
      <c r="L6" s="50">
        <f>IF(AND(H6&gt;=Year_Open_to_Traffic?, Calculations!H6&lt;Year_Open_to_Traffic?+'Inputs &amp; Outputs'!B$21), 1, 0)</f>
        <v>0</v>
      </c>
      <c r="M6" s="65">
        <f t="shared" si="5"/>
        <v>0.11683656658914199</v>
      </c>
      <c r="N6" s="71">
        <f t="shared" si="6"/>
        <v>0.48486959847788813</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2.5123440475725456E-2</v>
      </c>
      <c r="F7" s="26"/>
      <c r="H7" s="14">
        <f t="shared" si="3"/>
        <v>2021</v>
      </c>
      <c r="I7" s="79">
        <f t="shared" si="10"/>
        <v>14451.224641866193</v>
      </c>
      <c r="J7" s="50">
        <f t="shared" si="4"/>
        <v>0</v>
      </c>
      <c r="K7" s="50">
        <f>IF(H7=Year_Open_to_Traffic?,Calculations!$E$4,K6+(K6*M7))</f>
        <v>0</v>
      </c>
      <c r="L7" s="50">
        <f>IF(AND(H7&gt;=Year_Open_to_Traffic?, Calculations!H7&lt;Year_Open_to_Traffic?+'Inputs &amp; Outputs'!B$21), 1, 0)</f>
        <v>0</v>
      </c>
      <c r="M7" s="65">
        <f t="shared" si="5"/>
        <v>0.11683656658914199</v>
      </c>
      <c r="N7" s="71">
        <f t="shared" si="6"/>
        <v>0.49705119097373623</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0.46139472612888216</v>
      </c>
      <c r="F8" s="26"/>
      <c r="H8" s="49">
        <f t="shared" si="3"/>
        <v>2022</v>
      </c>
      <c r="I8" s="79">
        <f t="shared" si="10"/>
        <v>16139.656112030241</v>
      </c>
      <c r="J8" s="50">
        <f t="shared" si="4"/>
        <v>0</v>
      </c>
      <c r="K8" s="50">
        <f>IF(H8=Year_Open_to_Traffic?,Calculations!$E$4,K7+(K7*M8))</f>
        <v>0</v>
      </c>
      <c r="L8" s="50">
        <f>IF(AND(H8&gt;=Year_Open_to_Traffic?, Calculations!H8&lt;Year_Open_to_Traffic?+'Inputs &amp; Outputs'!B$21), 1, 0)</f>
        <v>0</v>
      </c>
      <c r="M8" s="65">
        <f t="shared" si="5"/>
        <v>0.11683656658914199</v>
      </c>
      <c r="N8" s="71">
        <f t="shared" si="6"/>
        <v>0.50953882698355335</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t="e">
        <f>_2025_PeakVolume/_2025_Capacity</f>
        <v>#REF!</v>
      </c>
      <c r="F9" s="26"/>
      <c r="H9" s="14">
        <f t="shared" si="3"/>
        <v>2023</v>
      </c>
      <c r="I9" s="79">
        <f t="shared" si="10"/>
        <v>18025.358118089316</v>
      </c>
      <c r="J9" s="50">
        <f t="shared" si="4"/>
        <v>0</v>
      </c>
      <c r="K9" s="50">
        <f>IF(H9=Year_Open_to_Traffic?,Calculations!$E$4,K8+(K8*M9))</f>
        <v>0</v>
      </c>
      <c r="L9" s="50">
        <f>IF(AND(H9&gt;=Year_Open_to_Traffic?, Calculations!H9&lt;Year_Open_to_Traffic?+'Inputs &amp; Outputs'!B$21), 1, 0)</f>
        <v>0</v>
      </c>
      <c r="M9" s="65">
        <f t="shared" si="5"/>
        <v>0.11683656658914199</v>
      </c>
      <c r="N9" s="71">
        <f t="shared" si="6"/>
        <v>0.52234019537334564</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0.90163146615023759</v>
      </c>
      <c r="F10" s="26"/>
      <c r="H10" s="49">
        <f t="shared" si="3"/>
        <v>2024</v>
      </c>
      <c r="I10" s="79">
        <f t="shared" si="10"/>
        <v>20131.379072146588</v>
      </c>
      <c r="J10" s="50">
        <f t="shared" si="4"/>
        <v>148051.91351915803</v>
      </c>
      <c r="K10" s="50">
        <f>IF(H10=Year_Open_to_Traffic?,Calculations!$E$4,K9+(K9*M10))</f>
        <v>136948.02000522122</v>
      </c>
      <c r="L10" s="50">
        <f>IF(AND(H10&gt;=Year_Open_to_Traffic?, Calculations!H10&lt;Year_Open_to_Traffic?+'Inputs &amp; Outputs'!B$21), 1, 0)</f>
        <v>1</v>
      </c>
      <c r="M10" s="65">
        <f t="shared" si="5"/>
        <v>0.11683656658914199</v>
      </c>
      <c r="N10" s="71">
        <f t="shared" si="6"/>
        <v>0.53546317817988665</v>
      </c>
      <c r="O10" s="72">
        <f t="shared" si="7"/>
        <v>1</v>
      </c>
      <c r="P10" s="68">
        <f>(J10-K10)*L10</f>
        <v>11103.893513936811</v>
      </c>
      <c r="Q10" s="69">
        <f t="shared" si="0"/>
        <v>1</v>
      </c>
      <c r="R10" s="70">
        <f t="shared" si="1"/>
        <v>20.320200961804083</v>
      </c>
      <c r="S10" s="77">
        <f t="shared" si="2"/>
        <v>313.63035324971975</v>
      </c>
      <c r="T10" s="64">
        <f t="shared" si="9"/>
        <v>208.98514704077664</v>
      </c>
      <c r="W10" s="58"/>
    </row>
    <row r="11" spans="1:24" ht="30" customHeight="1">
      <c r="A11" s="132" t="s">
        <v>121</v>
      </c>
      <c r="B11" s="133"/>
      <c r="D11" s="17" t="s">
        <v>122</v>
      </c>
      <c r="E11" s="39" t="e">
        <f>(E9/E8)^(1/(2025-2018))-1</f>
        <v>#REF!</v>
      </c>
      <c r="F11" s="26"/>
      <c r="H11" s="14">
        <f t="shared" si="3"/>
        <v>2025</v>
      </c>
      <c r="I11" s="79">
        <f t="shared" si="10"/>
        <v>22483.460283640703</v>
      </c>
      <c r="J11" s="50">
        <f t="shared" si="4"/>
        <v>165349.79077168903</v>
      </c>
      <c r="K11" s="50">
        <f>IF(H11=Year_Open_to_Traffic?,Calculations!$E$4,K10+(K10*M11))</f>
        <v>152948.55646381239</v>
      </c>
      <c r="L11" s="50">
        <f>IF(AND(H11&gt;=Year_Open_to_Traffic?, Calculations!H11&lt;Year_Open_to_Traffic?+'Inputs &amp; Outputs'!B$21), 1, 0)</f>
        <v>1</v>
      </c>
      <c r="M11" s="65">
        <f t="shared" si="5"/>
        <v>0.11683656658914199</v>
      </c>
      <c r="N11" s="71">
        <f t="shared" si="6"/>
        <v>0.54891585546383181</v>
      </c>
      <c r="O11" s="72">
        <f t="shared" si="7"/>
        <v>1</v>
      </c>
      <c r="P11" s="68">
        <f t="shared" si="8"/>
        <v>12401.234307876643</v>
      </c>
      <c r="Q11" s="69">
        <f t="shared" si="0"/>
        <v>1</v>
      </c>
      <c r="R11" s="70">
        <f t="shared" si="1"/>
        <v>20.787565583925574</v>
      </c>
      <c r="S11" s="77">
        <f t="shared" si="2"/>
        <v>358.33014538029283</v>
      </c>
      <c r="T11" s="64">
        <f t="shared" si="9"/>
        <v>223.15000554504536</v>
      </c>
      <c r="W11" s="58"/>
    </row>
    <row r="12" spans="1:24">
      <c r="A12" s="17" t="s">
        <v>123</v>
      </c>
      <c r="B12" s="18">
        <v>0.45</v>
      </c>
      <c r="D12" s="17" t="s">
        <v>124</v>
      </c>
      <c r="E12" s="39" t="e">
        <f>(E10/E9)^(1/(2045-2025))-1</f>
        <v>#REF!</v>
      </c>
      <c r="F12" s="26"/>
      <c r="H12" s="49">
        <v>2026</v>
      </c>
      <c r="I12" s="79">
        <f t="shared" si="10"/>
        <v>22367.35365266498</v>
      </c>
      <c r="J12" s="50">
        <f t="shared" si="4"/>
        <v>164495.90943417043</v>
      </c>
      <c r="K12" s="50">
        <f>IF(H12=Year_Open_to_Traffic?,Calculations!$E$4,K11+(K11*M12))</f>
        <v>152158.71622660768</v>
      </c>
      <c r="L12" s="50">
        <f>IF(AND(H12&gt;=Year_Open_to_Traffic?, Calculations!H12&lt;Year_Open_to_Traffic?+'Inputs &amp; Outputs'!B$21), 1, 0)</f>
        <v>1</v>
      </c>
      <c r="M12" s="65">
        <f t="shared" ref="M12:M36" si="11">IFERROR(_2025_2045_Demand_Growth,_2018_2045_Demand_Growth)</f>
        <v>-5.1640908254768636E-3</v>
      </c>
      <c r="N12" s="71">
        <f t="shared" ref="N12:N36" si="12">N11*(1+IFERROR(_2025_2045_V_C_Growth,_2018_2045_V_C_Growth))</f>
        <v>0.56270651028475926</v>
      </c>
      <c r="O12" s="72">
        <f t="shared" si="7"/>
        <v>1</v>
      </c>
      <c r="P12" s="68">
        <f t="shared" si="8"/>
        <v>12337.193207562756</v>
      </c>
      <c r="Q12" s="69">
        <f t="shared" si="0"/>
        <v>1</v>
      </c>
      <c r="R12" s="70">
        <f t="shared" si="1"/>
        <v>21.265679592355859</v>
      </c>
      <c r="S12" s="77">
        <f t="shared" si="2"/>
        <v>364.67872897121583</v>
      </c>
      <c r="T12" s="64">
        <f t="shared" si="9"/>
        <v>212.24634050245368</v>
      </c>
      <c r="W12" s="58"/>
    </row>
    <row r="13" spans="1:24">
      <c r="A13" s="17" t="s">
        <v>55</v>
      </c>
      <c r="B13" s="18">
        <v>0.43</v>
      </c>
      <c r="D13" s="17" t="s">
        <v>125</v>
      </c>
      <c r="E13" s="39">
        <f>(E10/E8)^(1/(2045-2018))-1</f>
        <v>2.5123440475725456E-2</v>
      </c>
      <c r="F13" s="26"/>
      <c r="H13" s="14">
        <f t="shared" si="3"/>
        <v>2027</v>
      </c>
      <c r="I13" s="79">
        <f t="shared" si="10"/>
        <v>22251.846606877058</v>
      </c>
      <c r="J13" s="50">
        <f t="shared" si="4"/>
        <v>163646.43761743297</v>
      </c>
      <c r="K13" s="50">
        <f>IF(H13=Year_Open_to_Traffic?,Calculations!$E$4,K12+(K12*M13))</f>
        <v>151372.9547961255</v>
      </c>
      <c r="L13" s="50">
        <f>IF(AND(H13&gt;=Year_Open_to_Traffic?, Calculations!H13&lt;Year_Open_to_Traffic?+'Inputs &amp; Outputs'!B$21), 1, 0)</f>
        <v>1</v>
      </c>
      <c r="M13" s="65">
        <f t="shared" si="11"/>
        <v>-5.1640908254768636E-3</v>
      </c>
      <c r="N13" s="71">
        <f t="shared" si="12"/>
        <v>0.57684363380120163</v>
      </c>
      <c r="O13" s="72">
        <f t="shared" si="7"/>
        <v>1</v>
      </c>
      <c r="P13" s="68">
        <f t="shared" si="8"/>
        <v>12273.482821307465</v>
      </c>
      <c r="Q13" s="69">
        <f t="shared" si="0"/>
        <v>1</v>
      </c>
      <c r="R13" s="70">
        <f t="shared" si="1"/>
        <v>21.754790222980041</v>
      </c>
      <c r="S13" s="77">
        <f t="shared" si="2"/>
        <v>371.13979127522146</v>
      </c>
      <c r="T13" s="64">
        <f t="shared" si="9"/>
        <v>201.87545569023072</v>
      </c>
      <c r="W13" s="58"/>
    </row>
    <row r="14" spans="1:24">
      <c r="H14" s="49">
        <f>H13+1</f>
        <v>2028</v>
      </c>
      <c r="I14" s="79">
        <f t="shared" si="10"/>
        <v>22136.936049964566</v>
      </c>
      <c r="J14" s="50">
        <f t="shared" si="4"/>
        <v>162801.35255031081</v>
      </c>
      <c r="K14" s="50">
        <f>IF(H14=Year_Open_to_Traffic?,Calculations!$E$4,K13+(K13*M14))</f>
        <v>150591.25110903752</v>
      </c>
      <c r="L14" s="50">
        <f>IF(AND(H14&gt;=Year_Open_to_Traffic?, Calculations!H14&lt;Year_Open_to_Traffic?+'Inputs &amp; Outputs'!B$21), 1, 0)</f>
        <v>1</v>
      </c>
      <c r="M14" s="65">
        <f t="shared" si="11"/>
        <v>-5.1640908254768636E-3</v>
      </c>
      <c r="N14" s="71">
        <f t="shared" si="12"/>
        <v>0.59133593049880728</v>
      </c>
      <c r="O14" s="72">
        <f t="shared" si="7"/>
        <v>1</v>
      </c>
      <c r="P14" s="68">
        <f t="shared" si="8"/>
        <v>12210.101441273291</v>
      </c>
      <c r="Q14" s="69">
        <f t="shared" si="0"/>
        <v>1</v>
      </c>
      <c r="R14" s="70">
        <f t="shared" si="1"/>
        <v>22.255150398108579</v>
      </c>
      <c r="S14" s="77">
        <f t="shared" si="2"/>
        <v>377.71532509286214</v>
      </c>
      <c r="T14" s="64">
        <f t="shared" si="9"/>
        <v>192.01131813939128</v>
      </c>
      <c r="W14" s="58"/>
    </row>
    <row r="15" spans="1:24">
      <c r="H15" s="14">
        <f t="shared" si="3"/>
        <v>2029</v>
      </c>
      <c r="I15" s="79">
        <f t="shared" si="10"/>
        <v>22022.618901604776</v>
      </c>
      <c r="J15" s="50">
        <f t="shared" si="4"/>
        <v>161960.63157923054</v>
      </c>
      <c r="K15" s="50">
        <f>IF(H15=Year_Open_to_Traffic?,Calculations!$E$4,K14+(K14*M15))</f>
        <v>149813.58421078825</v>
      </c>
      <c r="L15" s="50">
        <f>IF(AND(H15&gt;=Year_Open_to_Traffic?, Calculations!H15&lt;Year_Open_to_Traffic?+'Inputs &amp; Outputs'!B$21), 1, 0)</f>
        <v>1</v>
      </c>
      <c r="M15" s="65">
        <f t="shared" si="11"/>
        <v>-5.1640908254768636E-3</v>
      </c>
      <c r="N15" s="71">
        <f t="shared" si="12"/>
        <v>0.60619232354985175</v>
      </c>
      <c r="O15" s="72">
        <f t="shared" si="7"/>
        <v>1</v>
      </c>
      <c r="P15" s="68">
        <f t="shared" si="8"/>
        <v>12147.04736844229</v>
      </c>
      <c r="Q15" s="69">
        <f t="shared" si="0"/>
        <v>1</v>
      </c>
      <c r="R15" s="70">
        <f t="shared" si="1"/>
        <v>22.767018857265079</v>
      </c>
      <c r="S15" s="77">
        <f t="shared" si="2"/>
        <v>384.40735853141069</v>
      </c>
      <c r="T15" s="64">
        <f t="shared" si="9"/>
        <v>182.62916691665353</v>
      </c>
      <c r="W15" s="58"/>
    </row>
    <row r="16" spans="1:24">
      <c r="H16" s="49">
        <f t="shared" si="3"/>
        <v>2030</v>
      </c>
      <c r="I16" s="79">
        <f t="shared" si="10"/>
        <v>21908.892097382024</v>
      </c>
      <c r="J16" s="50">
        <f t="shared" si="4"/>
        <v>161124.25216760379</v>
      </c>
      <c r="K16" s="50">
        <f>IF(H16=Year_Open_to_Traffic?,Calculations!$E$4,K15+(K15*M16))</f>
        <v>149039.93325503351</v>
      </c>
      <c r="L16" s="50">
        <f>IF(AND(H16&gt;=Year_Open_to_Traffic?, Calculations!H16&lt;Year_Open_to_Traffic?+'Inputs &amp; Outputs'!B$21), 1, 0)</f>
        <v>1</v>
      </c>
      <c r="M16" s="65">
        <f t="shared" si="11"/>
        <v>-5.1640908254768636E-3</v>
      </c>
      <c r="N16" s="71">
        <f t="shared" si="12"/>
        <v>0.62142196030739816</v>
      </c>
      <c r="O16" s="72">
        <f t="shared" si="7"/>
        <v>1</v>
      </c>
      <c r="P16" s="68">
        <f t="shared" si="8"/>
        <v>12084.318912570277</v>
      </c>
      <c r="Q16" s="69">
        <f t="shared" si="0"/>
        <v>1</v>
      </c>
      <c r="R16" s="70">
        <f t="shared" si="1"/>
        <v>23.290660290982171</v>
      </c>
      <c r="S16" s="77">
        <f t="shared" si="2"/>
        <v>391.21795563038592</v>
      </c>
      <c r="T16" s="64">
        <f t="shared" si="9"/>
        <v>173.70545096960271</v>
      </c>
      <c r="W16" s="58"/>
    </row>
    <row r="17" spans="1:23">
      <c r="A17" s="27"/>
      <c r="H17" s="14">
        <f t="shared" si="3"/>
        <v>2031</v>
      </c>
      <c r="I17" s="79">
        <f t="shared" si="10"/>
        <v>21795.752588705571</v>
      </c>
      <c r="J17" s="50">
        <f t="shared" si="4"/>
        <v>160292.19189522325</v>
      </c>
      <c r="K17" s="50">
        <f>IF(H17=Year_Open_to_Traffic?,Calculations!$E$4,K16+(K16*M17))</f>
        <v>148270.27750308151</v>
      </c>
      <c r="L17" s="50">
        <f>IF(AND(H17&gt;=Year_Open_to_Traffic?, Calculations!H17&lt;Year_Open_to_Traffic?+'Inputs &amp; Outputs'!B$21), 1, 0)</f>
        <v>1</v>
      </c>
      <c r="M17" s="65">
        <f t="shared" si="11"/>
        <v>-5.1640908254768636E-3</v>
      </c>
      <c r="N17" s="71">
        <f t="shared" si="12"/>
        <v>0.63703421793748971</v>
      </c>
      <c r="O17" s="72">
        <f t="shared" si="7"/>
        <v>1</v>
      </c>
      <c r="P17" s="68">
        <f t="shared" si="8"/>
        <v>12021.914392141742</v>
      </c>
      <c r="Q17" s="69">
        <f t="shared" si="0"/>
        <v>1</v>
      </c>
      <c r="R17" s="70">
        <f t="shared" si="1"/>
        <v>23.82634547767476</v>
      </c>
      <c r="S17" s="77">
        <f t="shared" si="2"/>
        <v>398.14921699817728</v>
      </c>
      <c r="T17" s="64">
        <f t="shared" si="9"/>
        <v>165.21777000890219</v>
      </c>
      <c r="W17" s="58"/>
    </row>
    <row r="18" spans="1:23">
      <c r="H18" s="49">
        <f t="shared" si="3"/>
        <v>2032</v>
      </c>
      <c r="I18" s="79">
        <f t="shared" si="10"/>
        <v>21683.197342727872</v>
      </c>
      <c r="J18" s="50">
        <f t="shared" si="4"/>
        <v>159464.42845766156</v>
      </c>
      <c r="K18" s="50">
        <f>IF(H18=Year_Open_to_Traffic?,Calculations!$E$4,K17+(K17*M18))</f>
        <v>147504.59632333694</v>
      </c>
      <c r="L18" s="50">
        <f>IF(AND(H18&gt;=Year_Open_to_Traffic?, Calculations!H18&lt;Year_Open_to_Traffic?+'Inputs &amp; Outputs'!B$21), 1, 0)</f>
        <v>1</v>
      </c>
      <c r="M18" s="65">
        <f t="shared" si="11"/>
        <v>-5.1640908254768636E-3</v>
      </c>
      <c r="N18" s="71">
        <f t="shared" si="12"/>
        <v>0.65303870919284257</v>
      </c>
      <c r="O18" s="72">
        <f t="shared" si="7"/>
        <v>1</v>
      </c>
      <c r="P18" s="68">
        <f t="shared" si="8"/>
        <v>11959.832134324621</v>
      </c>
      <c r="Q18" s="69">
        <f t="shared" si="0"/>
        <v>1</v>
      </c>
      <c r="R18" s="70">
        <f t="shared" si="1"/>
        <v>24.374351423661277</v>
      </c>
      <c r="S18" s="77">
        <f t="shared" si="2"/>
        <v>405.203280459935</v>
      </c>
      <c r="T18" s="64">
        <f t="shared" si="9"/>
        <v>157.1448182791413</v>
      </c>
      <c r="W18" s="58"/>
    </row>
    <row r="19" spans="1:23">
      <c r="H19" s="14">
        <f t="shared" si="3"/>
        <v>2033</v>
      </c>
      <c r="I19" s="79">
        <f t="shared" si="10"/>
        <v>21571.223342263285</v>
      </c>
      <c r="J19" s="50">
        <f t="shared" si="4"/>
        <v>158640.93966567345</v>
      </c>
      <c r="K19" s="50">
        <f>IF(H19=Year_Open_to_Traffic?,Calculations!$E$4,K18+(K18*M19))</f>
        <v>146742.86919074794</v>
      </c>
      <c r="L19" s="50">
        <f>IF(AND(H19&gt;=Year_Open_to_Traffic?, Calculations!H19&lt;Year_Open_to_Traffic?+'Inputs &amp; Outputs'!B$21), 1, 0)</f>
        <v>1</v>
      </c>
      <c r="M19" s="65">
        <f t="shared" si="11"/>
        <v>-5.1640908254768636E-3</v>
      </c>
      <c r="N19" s="71">
        <f t="shared" si="12"/>
        <v>0.66944528833159356</v>
      </c>
      <c r="O19" s="72">
        <f t="shared" si="7"/>
        <v>1</v>
      </c>
      <c r="P19" s="68">
        <f t="shared" si="8"/>
        <v>11898.070474925509</v>
      </c>
      <c r="Q19" s="69">
        <f t="shared" si="0"/>
        <v>1</v>
      </c>
      <c r="R19" s="70">
        <f t="shared" si="1"/>
        <v>24.934961506405479</v>
      </c>
      <c r="S19" s="77">
        <f t="shared" si="2"/>
        <v>412.38232171694625</v>
      </c>
      <c r="T19" s="64">
        <f t="shared" si="9"/>
        <v>149.46633107718219</v>
      </c>
      <c r="W19" s="58"/>
    </row>
    <row r="20" spans="1:23">
      <c r="H20" s="49">
        <f t="shared" si="3"/>
        <v>2034</v>
      </c>
      <c r="I20" s="79">
        <f t="shared" si="10"/>
        <v>21459.827585707189</v>
      </c>
      <c r="J20" s="50">
        <f t="shared" si="4"/>
        <v>157821.70344460092</v>
      </c>
      <c r="K20" s="50">
        <f>IF(H20=Year_Open_to_Traffic?,Calculations!$E$4,K19+(K19*M20))</f>
        <v>145985.07568625585</v>
      </c>
      <c r="L20" s="50">
        <f>IF(AND(H20&gt;=Year_Open_to_Traffic?, Calculations!H20&lt;Year_Open_to_Traffic?+'Inputs &amp; Outputs'!B$21), 1, 0)</f>
        <v>1</v>
      </c>
      <c r="M20" s="65">
        <f t="shared" si="11"/>
        <v>-5.1640908254768636E-3</v>
      </c>
      <c r="N20" s="71">
        <f t="shared" si="12"/>
        <v>0.68626405718474726</v>
      </c>
      <c r="O20" s="72">
        <f t="shared" si="7"/>
        <v>1</v>
      </c>
      <c r="P20" s="68">
        <f t="shared" si="8"/>
        <v>11836.627758345072</v>
      </c>
      <c r="Q20" s="69">
        <f t="shared" si="0"/>
        <v>1</v>
      </c>
      <c r="R20" s="70">
        <f t="shared" si="1"/>
        <v>25.508465621052807</v>
      </c>
      <c r="S20" s="77">
        <f t="shared" si="2"/>
        <v>419.68855501769298</v>
      </c>
      <c r="T20" s="64">
        <f t="shared" si="9"/>
        <v>142.16303388375357</v>
      </c>
      <c r="W20" s="58"/>
    </row>
    <row r="21" spans="1:23">
      <c r="H21" s="14">
        <f t="shared" si="3"/>
        <v>2035</v>
      </c>
      <c r="I21" s="79">
        <f t="shared" si="10"/>
        <v>21349.007086955524</v>
      </c>
      <c r="J21" s="50">
        <f t="shared" si="4"/>
        <v>157006.69783378154</v>
      </c>
      <c r="K21" s="50">
        <f>IF(H21=Year_Open_to_Traffic?,Calculations!$E$4,K20+(K20*M21))</f>
        <v>145231.19549624791</v>
      </c>
      <c r="L21" s="50">
        <f>IF(AND(H21&gt;=Year_Open_to_Traffic?, Calculations!H21&lt;Year_Open_to_Traffic?+'Inputs &amp; Outputs'!B$21), 1, 0)</f>
        <v>1</v>
      </c>
      <c r="M21" s="65">
        <f t="shared" si="11"/>
        <v>-5.1640908254768636E-3</v>
      </c>
      <c r="N21" s="71">
        <f t="shared" si="12"/>
        <v>0.70350537137605806</v>
      </c>
      <c r="O21" s="72">
        <f t="shared" si="7"/>
        <v>1</v>
      </c>
      <c r="P21" s="68">
        <f t="shared" si="8"/>
        <v>11775.502337533631</v>
      </c>
      <c r="Q21" s="69">
        <f t="shared" si="0"/>
        <v>1</v>
      </c>
      <c r="R21" s="70">
        <f t="shared" si="1"/>
        <v>26.095160330337016</v>
      </c>
      <c r="S21" s="77">
        <f t="shared" si="2"/>
        <v>427.1242338407958</v>
      </c>
      <c r="T21" s="64">
        <f t="shared" si="9"/>
        <v>135.21659398059998</v>
      </c>
      <c r="W21" s="58"/>
    </row>
    <row r="22" spans="1:23">
      <c r="H22" s="49">
        <f>H21+1</f>
        <v>2036</v>
      </c>
      <c r="I22" s="79">
        <f t="shared" si="10"/>
        <v>21238.758875324736</v>
      </c>
      <c r="J22" s="50">
        <f t="shared" si="4"/>
        <v>156195.90098595968</v>
      </c>
      <c r="K22" s="50">
        <f>IF(H22=Year_Open_to_Traffic?,Calculations!$E$4,K21+(K21*M22))</f>
        <v>144481.2084120127</v>
      </c>
      <c r="L22" s="50">
        <f>IF(AND(H22&gt;=Year_Open_to_Traffic?, Calculations!H22&lt;Year_Open_to_Traffic?+'Inputs &amp; Outputs'!B$21), 1, 0)</f>
        <v>1</v>
      </c>
      <c r="M22" s="65">
        <f t="shared" si="11"/>
        <v>-5.1640908254768636E-3</v>
      </c>
      <c r="N22" s="71">
        <f t="shared" si="12"/>
        <v>0.72117984669817758</v>
      </c>
      <c r="O22" s="72">
        <f t="shared" si="7"/>
        <v>1</v>
      </c>
      <c r="P22" s="68">
        <f t="shared" si="8"/>
        <v>11714.692573946988</v>
      </c>
      <c r="Q22" s="69">
        <f t="shared" si="0"/>
        <v>1</v>
      </c>
      <c r="R22" s="70">
        <f t="shared" si="1"/>
        <v>26.695349017934767</v>
      </c>
      <c r="S22" s="77">
        <f t="shared" si="2"/>
        <v>434.69165159005956</v>
      </c>
      <c r="T22" s="64">
        <f t="shared" si="9"/>
        <v>128.60957443173874</v>
      </c>
      <c r="W22" s="58"/>
    </row>
    <row r="23" spans="1:23">
      <c r="H23" s="14">
        <f t="shared" si="3"/>
        <v>2037</v>
      </c>
      <c r="I23" s="79">
        <f t="shared" si="10"/>
        <v>21129.079995472155</v>
      </c>
      <c r="J23" s="50">
        <f t="shared" si="4"/>
        <v>155389.291166701</v>
      </c>
      <c r="K23" s="50">
        <f>IF(H23=Year_Open_to_Traffic?,Calculations!$E$4,K22+(K22*M23))</f>
        <v>143735.09432919841</v>
      </c>
      <c r="L23" s="50">
        <f>IF(AND(H23&gt;=Year_Open_to_Traffic?, Calculations!H23&lt;Year_Open_to_Traffic?+'Inputs &amp; Outputs'!B$21), 1, 0)</f>
        <v>1</v>
      </c>
      <c r="M23" s="65">
        <f t="shared" si="11"/>
        <v>-5.1640908254768636E-3</v>
      </c>
      <c r="N23" s="71">
        <f t="shared" si="12"/>
        <v>0.7392983656489921</v>
      </c>
      <c r="O23" s="72">
        <f t="shared" si="7"/>
        <v>1</v>
      </c>
      <c r="P23" s="68">
        <f t="shared" si="8"/>
        <v>11654.19683750259</v>
      </c>
      <c r="Q23" s="69">
        <f t="shared" si="0"/>
        <v>1</v>
      </c>
      <c r="R23" s="70">
        <f t="shared" si="1"/>
        <v>27.309342045347261</v>
      </c>
      <c r="S23" s="77">
        <f t="shared" si="2"/>
        <v>442.39314230183595</v>
      </c>
      <c r="T23" s="64">
        <f t="shared" si="9"/>
        <v>122.32539031330775</v>
      </c>
      <c r="W23" s="58"/>
    </row>
    <row r="24" spans="1:23">
      <c r="H24" s="49">
        <f t="shared" si="3"/>
        <v>2038</v>
      </c>
      <c r="I24" s="79">
        <f t="shared" si="10"/>
        <v>21019.967507316771</v>
      </c>
      <c r="J24" s="50">
        <f t="shared" si="4"/>
        <v>154586.84675380969</v>
      </c>
      <c r="K24" s="50">
        <f>IF(H24=Year_Open_to_Traffic?,Calculations!$E$4,K23+(K23*M24))</f>
        <v>142992.83324727396</v>
      </c>
      <c r="L24" s="50">
        <f>IF(AND(H24&gt;=Year_Open_to_Traffic?, Calculations!H24&lt;Year_Open_to_Traffic?+'Inputs &amp; Outputs'!B$21), 1, 0)</f>
        <v>1</v>
      </c>
      <c r="M24" s="65">
        <f t="shared" si="11"/>
        <v>-5.1640908254768636E-3</v>
      </c>
      <c r="N24" s="71">
        <f t="shared" si="12"/>
        <v>0.75787208413217566</v>
      </c>
      <c r="O24" s="72">
        <f t="shared" si="7"/>
        <v>1</v>
      </c>
      <c r="P24" s="68">
        <f>(J24-K24)*L24</f>
        <v>11594.013506535732</v>
      </c>
      <c r="Q24" s="69">
        <f t="shared" si="0"/>
        <v>1</v>
      </c>
      <c r="R24" s="70">
        <f t="shared" si="1"/>
        <v>27.93745691239025</v>
      </c>
      <c r="S24" s="77">
        <f t="shared" si="2"/>
        <v>450.23108136491243</v>
      </c>
      <c r="T24" s="64">
        <f t="shared" si="9"/>
        <v>116.34826708213045</v>
      </c>
      <c r="W24" s="58"/>
    </row>
    <row r="25" spans="1:23">
      <c r="H25" s="14">
        <f t="shared" si="3"/>
        <v>2039</v>
      </c>
      <c r="I25" s="79">
        <f t="shared" si="10"/>
        <v>20911.418485960414</v>
      </c>
      <c r="J25" s="50">
        <f t="shared" si="4"/>
        <v>153788.54623674895</v>
      </c>
      <c r="K25" s="50">
        <f>IF(H25=Year_Open_to_Traffic?,Calculations!$E$4,K24+(K24*M25))</f>
        <v>142254.40526899276</v>
      </c>
      <c r="L25" s="50">
        <f>IF(AND(H25&gt;=Year_Open_to_Traffic?, Calculations!H25&lt;Year_Open_to_Traffic?+'Inputs &amp; Outputs'!B$21), 1, 0)</f>
        <v>1</v>
      </c>
      <c r="M25" s="65">
        <f t="shared" si="11"/>
        <v>-5.1640908254768636E-3</v>
      </c>
      <c r="N25" s="71">
        <f t="shared" si="12"/>
        <v>0.77691243832608436</v>
      </c>
      <c r="O25" s="72">
        <f t="shared" si="7"/>
        <v>1</v>
      </c>
      <c r="P25" s="68">
        <f t="shared" si="8"/>
        <v>11534.14096775619</v>
      </c>
      <c r="Q25" s="69">
        <f t="shared" si="0"/>
        <v>1</v>
      </c>
      <c r="R25" s="70">
        <f t="shared" si="1"/>
        <v>28.580018421375218</v>
      </c>
      <c r="S25" s="77">
        <f t="shared" si="2"/>
        <v>458.20788625316254</v>
      </c>
      <c r="T25" s="64">
        <f t="shared" si="9"/>
        <v>110.66320097849797</v>
      </c>
      <c r="W25" s="58"/>
    </row>
    <row r="26" spans="1:23">
      <c r="H26" s="49">
        <f t="shared" si="3"/>
        <v>2040</v>
      </c>
      <c r="I26" s="79">
        <f t="shared" si="10"/>
        <v>20803.430021609358</v>
      </c>
      <c r="J26" s="50">
        <f t="shared" si="4"/>
        <v>152994.36821606432</v>
      </c>
      <c r="K26" s="50">
        <f>IF(H26=Year_Open_to_Traffic?,Calculations!$E$4,K25+(K25*M26))</f>
        <v>141519.79059985949</v>
      </c>
      <c r="L26" s="50">
        <f>IF(AND(H26&gt;=Year_Open_to_Traffic?, Calculations!H26&lt;Year_Open_to_Traffic?+'Inputs &amp; Outputs'!B$21), 1, 0)</f>
        <v>1</v>
      </c>
      <c r="M26" s="65">
        <f t="shared" si="11"/>
        <v>-5.1640908254768636E-3</v>
      </c>
      <c r="N26" s="71">
        <f t="shared" si="12"/>
        <v>0.7964311517252205</v>
      </c>
      <c r="O26" s="72">
        <f t="shared" si="7"/>
        <v>1</v>
      </c>
      <c r="P26" s="68">
        <f t="shared" si="8"/>
        <v>11474.577616204828</v>
      </c>
      <c r="Q26" s="69">
        <f t="shared" si="0"/>
        <v>1</v>
      </c>
      <c r="R26" s="70">
        <f t="shared" si="1"/>
        <v>29.237358845066851</v>
      </c>
      <c r="S26" s="77">
        <f t="shared" si="2"/>
        <v>466.3260172711677</v>
      </c>
      <c r="T26" s="64">
        <f t="shared" si="9"/>
        <v>105.25592136376807</v>
      </c>
      <c r="W26" s="58"/>
    </row>
    <row r="27" spans="1:23">
      <c r="H27" s="14">
        <f t="shared" si="3"/>
        <v>2041</v>
      </c>
      <c r="I27" s="79">
        <f t="shared" si="10"/>
        <v>20695.999219496316</v>
      </c>
      <c r="J27" s="50">
        <f t="shared" si="4"/>
        <v>152204.29140281011</v>
      </c>
      <c r="K27" s="50">
        <f>IF(H27=Year_Open_to_Traffic?,Calculations!$E$4,K26+(K26*M27))</f>
        <v>140788.96954759935</v>
      </c>
      <c r="L27" s="50">
        <f>IF(AND(H27&gt;=Year_Open_to_Traffic?, Calculations!H27&lt;Year_Open_to_Traffic?+'Inputs &amp; Outputs'!B$21), 1, 0)</f>
        <v>1</v>
      </c>
      <c r="M27" s="65">
        <f t="shared" si="11"/>
        <v>-5.1640908254768636E-3</v>
      </c>
      <c r="N27" s="71">
        <f t="shared" si="12"/>
        <v>0.81644024235860257</v>
      </c>
      <c r="O27" s="72">
        <f t="shared" si="7"/>
        <v>1</v>
      </c>
      <c r="P27" s="68">
        <f t="shared" si="8"/>
        <v>11415.321855210757</v>
      </c>
      <c r="Q27" s="69">
        <f t="shared" si="0"/>
        <v>1</v>
      </c>
      <c r="R27" s="70">
        <f t="shared" si="1"/>
        <v>29.909818098503379</v>
      </c>
      <c r="S27" s="77">
        <f t="shared" si="2"/>
        <v>474.58797831306117</v>
      </c>
      <c r="T27" s="64">
        <f t="shared" si="9"/>
        <v>100.11285489824537</v>
      </c>
      <c r="W27" s="58"/>
    </row>
    <row r="28" spans="1:23">
      <c r="H28" s="49">
        <f t="shared" si="3"/>
        <v>2042</v>
      </c>
      <c r="I28" s="79">
        <f t="shared" si="10"/>
        <v>20589.123199802838</v>
      </c>
      <c r="J28" s="50">
        <f t="shared" si="4"/>
        <v>151418.29461797865</v>
      </c>
      <c r="K28" s="50">
        <f>IF(H28=Year_Open_to_Traffic?,Calculations!$E$4,K27+(K27*M28))</f>
        <v>140061.92252163024</v>
      </c>
      <c r="L28" s="50">
        <f>IF(AND(H28&gt;=Year_Open_to_Traffic?, Calculations!H28&lt;Year_Open_to_Traffic?+'Inputs &amp; Outputs'!B$21), 1, 0)</f>
        <v>1</v>
      </c>
      <c r="M28" s="65">
        <f t="shared" si="11"/>
        <v>-5.1640908254768636E-3</v>
      </c>
      <c r="N28" s="71">
        <f t="shared" si="12"/>
        <v>0.83695203018948583</v>
      </c>
      <c r="O28" s="72">
        <f t="shared" si="7"/>
        <v>1</v>
      </c>
      <c r="P28" s="68">
        <f t="shared" si="8"/>
        <v>11356.372096348408</v>
      </c>
      <c r="Q28" s="69">
        <f t="shared" si="0"/>
        <v>1</v>
      </c>
      <c r="R28" s="70">
        <f t="shared" si="1"/>
        <v>30.597743914768959</v>
      </c>
      <c r="S28" s="77">
        <f t="shared" si="2"/>
        <v>482.99631763480613</v>
      </c>
      <c r="T28" s="64">
        <f t="shared" si="9"/>
        <v>95.22109146941726</v>
      </c>
      <c r="W28" s="58"/>
    </row>
    <row r="29" spans="1:23">
      <c r="H29" s="14">
        <f t="shared" si="3"/>
        <v>2043</v>
      </c>
      <c r="I29" s="79">
        <f t="shared" si="10"/>
        <v>20482.799097582123</v>
      </c>
      <c r="J29" s="50">
        <f t="shared" si="4"/>
        <v>150636.3567919326</v>
      </c>
      <c r="K29" s="50">
        <f>IF(H29=Year_Open_to_Traffic?,Calculations!$E$4,K28+(K28*M29))</f>
        <v>139338.63003253765</v>
      </c>
      <c r="L29" s="50">
        <f>IF(AND(H29&gt;=Year_Open_to_Traffic?, Calculations!H29&lt;Year_Open_to_Traffic?+'Inputs &amp; Outputs'!B$21), 1, 0)</f>
        <v>1</v>
      </c>
      <c r="M29" s="65">
        <f t="shared" si="11"/>
        <v>-5.1640908254768636E-3</v>
      </c>
      <c r="N29" s="71">
        <f t="shared" si="12"/>
        <v>0.8579791447009889</v>
      </c>
      <c r="O29" s="72">
        <f t="shared" si="7"/>
        <v>1</v>
      </c>
      <c r="P29" s="68">
        <f t="shared" si="8"/>
        <v>11297.726759394951</v>
      </c>
      <c r="Q29" s="69">
        <f t="shared" si="0"/>
        <v>1</v>
      </c>
      <c r="R29" s="70">
        <f t="shared" si="1"/>
        <v>31.301492024808638</v>
      </c>
      <c r="S29" s="77">
        <f t="shared" si="2"/>
        <v>491.55362864015882</v>
      </c>
      <c r="T29" s="64">
        <f t="shared" si="9"/>
        <v>90.568351785021648</v>
      </c>
      <c r="W29" s="58"/>
    </row>
    <row r="30" spans="1:23">
      <c r="H30" s="14">
        <f t="shared" si="3"/>
        <v>2044</v>
      </c>
      <c r="I30" s="79">
        <f t="shared" si="10"/>
        <v>20377.024062682212</v>
      </c>
      <c r="J30" s="50">
        <f t="shared" si="4"/>
        <v>149858.45696384012</v>
      </c>
      <c r="K30" s="50">
        <f>IF(H30=Year_Open_to_Traffic?,Calculations!$E$4,K29+(K29*M30))</f>
        <v>138619.07269155211</v>
      </c>
      <c r="L30" s="50">
        <f>IF(AND(H30&gt;=Year_Open_to_Traffic?, Calculations!H30&lt;Year_Open_to_Traffic?+'Inputs &amp; Outputs'!B$21), 1, 0)</f>
        <v>1</v>
      </c>
      <c r="M30" s="65">
        <f t="shared" si="11"/>
        <v>-5.1640908254768636E-3</v>
      </c>
      <c r="N30" s="71">
        <f t="shared" si="12"/>
        <v>0.87953453267229809</v>
      </c>
      <c r="O30" s="72">
        <f t="shared" si="7"/>
        <v>1</v>
      </c>
      <c r="P30" s="68">
        <f t="shared" si="8"/>
        <v>11239.384272288007</v>
      </c>
      <c r="Q30" s="69">
        <f t="shared" si="0"/>
        <v>1</v>
      </c>
      <c r="R30" s="70">
        <f t="shared" si="1"/>
        <v>32.021426341379232</v>
      </c>
      <c r="S30" s="77">
        <f t="shared" si="2"/>
        <v>500.26255068056196</v>
      </c>
      <c r="T30" s="64">
        <f t="shared" si="9"/>
        <v>86.14295654959929</v>
      </c>
      <c r="W30" s="58"/>
    </row>
    <row r="31" spans="1:23">
      <c r="H31" s="14">
        <f t="shared" si="3"/>
        <v>2045</v>
      </c>
      <c r="I31" s="79">
        <f t="shared" si="10"/>
        <v>20271.795259669594</v>
      </c>
      <c r="J31" s="50">
        <f t="shared" si="4"/>
        <v>149084.57428111302</v>
      </c>
      <c r="K31" s="50">
        <f>IF(H31=Year_Open_to_Traffic?,Calculations!$E$4,K30+(K30*M31))</f>
        <v>137903.23121002957</v>
      </c>
      <c r="L31" s="50">
        <f>IF(AND(H31&gt;=Year_Open_to_Traffic?, Calculations!H31&lt;Year_Open_to_Traffic?+'Inputs &amp; Outputs'!B$21), 1, 0)</f>
        <v>1</v>
      </c>
      <c r="M31" s="65">
        <f t="shared" si="11"/>
        <v>-5.1640908254768636E-3</v>
      </c>
      <c r="N31" s="71">
        <f t="shared" si="12"/>
        <v>0.90163146615023559</v>
      </c>
      <c r="O31" s="72">
        <f t="shared" si="7"/>
        <v>1</v>
      </c>
      <c r="P31" s="68">
        <f t="shared" si="8"/>
        <v>11181.343071083451</v>
      </c>
      <c r="Q31" s="69">
        <f t="shared" si="0"/>
        <v>1</v>
      </c>
      <c r="R31" s="70">
        <f t="shared" si="1"/>
        <v>32.757919147230957</v>
      </c>
      <c r="S31" s="77">
        <f t="shared" si="2"/>
        <v>509.12576986920385</v>
      </c>
      <c r="T31" s="64">
        <f t="shared" si="9"/>
        <v>81.933797147155062</v>
      </c>
      <c r="W31" s="58"/>
    </row>
    <row r="32" spans="1:23">
      <c r="H32" s="14">
        <f t="shared" si="3"/>
        <v>2046</v>
      </c>
      <c r="I32" s="79">
        <f t="shared" si="10"/>
        <v>20167.109867753188</v>
      </c>
      <c r="J32" s="50">
        <f t="shared" si="4"/>
        <v>148314.6879988478</v>
      </c>
      <c r="K32" s="50">
        <f>IF(H32=Year_Open_to_Traffic?,Calculations!$E$4,K31+(K31*M32))</f>
        <v>137191.08639893425</v>
      </c>
      <c r="L32" s="50">
        <f>IF(AND(H32&gt;=Year_Open_to_Traffic?, Calculations!H32&lt;Year_Open_to_Traffic?+'Inputs &amp; Outputs'!B$21), 1, 0)</f>
        <v>1</v>
      </c>
      <c r="M32" s="65">
        <f t="shared" si="11"/>
        <v>-5.1640908254768636E-3</v>
      </c>
      <c r="N32" s="71">
        <f t="shared" si="12"/>
        <v>0.92428355062110212</v>
      </c>
      <c r="O32" s="72">
        <f t="shared" si="7"/>
        <v>1</v>
      </c>
      <c r="P32" s="68">
        <f t="shared" si="8"/>
        <v>11123.601599913556</v>
      </c>
      <c r="Q32" s="69">
        <f t="shared" si="0"/>
        <v>1</v>
      </c>
      <c r="R32" s="70">
        <f t="shared" si="1"/>
        <v>33.511351287617266</v>
      </c>
      <c r="S32" s="77">
        <f t="shared" si="2"/>
        <v>518.1460199095045</v>
      </c>
      <c r="T32" s="64">
        <f t="shared" si="9"/>
        <v>77.930307756338493</v>
      </c>
      <c r="W32" s="58"/>
    </row>
    <row r="33" spans="8:23">
      <c r="H33" s="14">
        <f t="shared" si="3"/>
        <v>2047</v>
      </c>
      <c r="I33" s="79">
        <f t="shared" si="10"/>
        <v>20062.965080708738</v>
      </c>
      <c r="J33" s="50">
        <f t="shared" si="4"/>
        <v>147548.77747926948</v>
      </c>
      <c r="K33" s="50">
        <f>IF(H33=Year_Open_to_Traffic?,Calculations!$E$4,K32+(K32*M33))</f>
        <v>136482.61916832431</v>
      </c>
      <c r="L33" s="50">
        <f>IF(AND(H33&gt;=Year_Open_to_Traffic?, Calculations!H33&lt;Year_Open_to_Traffic?+'Inputs &amp; Outputs'!B$21), 1, 0)</f>
        <v>1</v>
      </c>
      <c r="M33" s="65">
        <f t="shared" si="11"/>
        <v>-5.1640908254768636E-3</v>
      </c>
      <c r="N33" s="71">
        <f t="shared" si="12"/>
        <v>0.94750473338782359</v>
      </c>
      <c r="O33" s="72">
        <f t="shared" si="7"/>
        <v>1</v>
      </c>
      <c r="P33" s="68">
        <f t="shared" si="8"/>
        <v>11066.158310945175</v>
      </c>
      <c r="Q33" s="69">
        <f t="shared" si="0"/>
        <v>1</v>
      </c>
      <c r="R33" s="70">
        <f t="shared" si="1"/>
        <v>34.282112367232457</v>
      </c>
      <c r="S33" s="77">
        <f t="shared" si="2"/>
        <v>527.326082938274</v>
      </c>
      <c r="T33" s="64">
        <f t="shared" si="9"/>
        <v>74.122438828144794</v>
      </c>
      <c r="W33" s="58"/>
    </row>
    <row r="34" spans="8:23">
      <c r="H34" s="14">
        <f t="shared" si="3"/>
        <v>2048</v>
      </c>
      <c r="I34" s="79">
        <f t="shared" si="10"/>
        <v>19959.358106803589</v>
      </c>
      <c r="J34" s="50">
        <f t="shared" si="4"/>
        <v>146786.82219117845</v>
      </c>
      <c r="K34" s="50">
        <f>IF(H34=Year_Open_to_Traffic?,Calculations!$E$4,K33+(K33*M34))</f>
        <v>135777.81052684013</v>
      </c>
      <c r="L34" s="50">
        <f>IF(AND(H34&gt;=Year_Open_to_Traffic?, Calculations!H34&lt;Year_Open_to_Traffic?+'Inputs &amp; Outputs'!B$21), 1, 0)</f>
        <v>1</v>
      </c>
      <c r="M34" s="65">
        <f t="shared" si="11"/>
        <v>-5.1640908254768636E-3</v>
      </c>
      <c r="N34" s="71">
        <f t="shared" si="12"/>
        <v>0.97130931215756067</v>
      </c>
      <c r="O34" s="72">
        <f t="shared" si="7"/>
        <v>1</v>
      </c>
      <c r="P34" s="68">
        <f t="shared" si="8"/>
        <v>11009.011664338323</v>
      </c>
      <c r="Q34" s="69">
        <f t="shared" si="0"/>
        <v>1</v>
      </c>
      <c r="R34" s="70">
        <f t="shared" si="1"/>
        <v>35.070600951678806</v>
      </c>
      <c r="S34" s="77">
        <f t="shared" si="2"/>
        <v>536.6687903838174</v>
      </c>
      <c r="T34" s="64">
        <f t="shared" si="9"/>
        <v>70.500631859562944</v>
      </c>
      <c r="W34" s="58"/>
    </row>
    <row r="35" spans="8:23">
      <c r="H35" s="14">
        <f t="shared" si="3"/>
        <v>2049</v>
      </c>
      <c r="I35" s="79">
        <f t="shared" si="10"/>
        <v>19856.286168721839</v>
      </c>
      <c r="J35" s="50">
        <f t="shared" si="4"/>
        <v>146028.80170940008</v>
      </c>
      <c r="K35" s="50">
        <f>IF(H35=Year_Open_to_Traffic?,Calculations!$E$4,K34+(K34*M35))</f>
        <v>135076.64158119514</v>
      </c>
      <c r="L35" s="50">
        <f>IF(AND(H35&gt;=Year_Open_to_Traffic?, Calculations!H35&lt;Year_Open_to_Traffic?+'Inputs &amp; Outputs'!B$21), 1, 0)</f>
        <v>1</v>
      </c>
      <c r="M35" s="65">
        <f t="shared" si="11"/>
        <v>-5.1640908254768636E-3</v>
      </c>
      <c r="N35" s="71">
        <f t="shared" si="12"/>
        <v>0.995711943845069</v>
      </c>
      <c r="O35" s="72">
        <f t="shared" si="7"/>
        <v>1</v>
      </c>
      <c r="P35" s="68">
        <f t="shared" si="8"/>
        <v>10952.160128204938</v>
      </c>
      <c r="Q35" s="69">
        <f t="shared" si="0"/>
        <v>1</v>
      </c>
      <c r="R35" s="70">
        <f t="shared" si="1"/>
        <v>35.877224773567399</v>
      </c>
      <c r="S35" s="77">
        <f t="shared" si="2"/>
        <v>546.1770238392387</v>
      </c>
      <c r="T35" s="64">
        <f t="shared" si="9"/>
        <v>67.05579539984528</v>
      </c>
      <c r="W35" s="58"/>
    </row>
    <row r="36" spans="8:23">
      <c r="H36" s="14">
        <f t="shared" si="3"/>
        <v>2050</v>
      </c>
      <c r="I36" s="79">
        <f t="shared" si="10"/>
        <v>19753.7465034899</v>
      </c>
      <c r="J36" s="50">
        <f t="shared" si="4"/>
        <v>145274.6957142372</v>
      </c>
      <c r="K36" s="50">
        <f>IF(H36=Year_Open_to_Traffic?,Calculations!$E$4,K35+(K35*M36))</f>
        <v>134379.09353566947</v>
      </c>
      <c r="L36" s="50">
        <f>IF(AND(H36&gt;=Year_Open_to_Traffic?, Calculations!H36&lt;Year_Open_to_Traffic?+'Inputs &amp; Outputs'!B$21), 1, 0)</f>
        <v>1</v>
      </c>
      <c r="M36" s="65">
        <f t="shared" si="11"/>
        <v>-5.1640908254768636E-3</v>
      </c>
      <c r="N36" s="71">
        <f t="shared" si="12"/>
        <v>1.0207276535972294</v>
      </c>
      <c r="O36" s="72">
        <f t="shared" si="7"/>
        <v>0</v>
      </c>
      <c r="P36" s="68">
        <f t="shared" si="8"/>
        <v>10895.602178567729</v>
      </c>
      <c r="Q36" s="69">
        <f t="shared" si="0"/>
        <v>1</v>
      </c>
      <c r="R36" s="70">
        <f t="shared" si="1"/>
        <v>36.702400943359457</v>
      </c>
      <c r="S36" s="77">
        <f t="shared" si="2"/>
        <v>555.85371595121569</v>
      </c>
      <c r="T36" s="64">
        <f t="shared" si="9"/>
        <v>63.779282229170612</v>
      </c>
      <c r="W36" s="58"/>
    </row>
    <row r="37" spans="8:23">
      <c r="H37" s="44"/>
      <c r="I37" s="44"/>
      <c r="J37" s="44"/>
      <c r="K37" s="44"/>
      <c r="L37" s="44"/>
      <c r="M37" s="60"/>
      <c r="N37" s="61"/>
      <c r="O37" s="44"/>
      <c r="P37" s="44"/>
      <c r="Q37" s="44"/>
      <c r="R37" s="44"/>
      <c r="S37" s="59"/>
      <c r="T37" s="64">
        <f>SUM(T4:T36)</f>
        <v>3534.381294125677</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73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52</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BA086-B818-4104-AF62-2069D7CA1486}"/>
</file>

<file path=customXml/itemProps2.xml><?xml version="1.0" encoding="utf-8"?>
<ds:datastoreItem xmlns:ds="http://schemas.openxmlformats.org/officeDocument/2006/customXml" ds:itemID="{0528AA39-DF55-4642-8114-03676A881751}"/>
</file>

<file path=customXml/itemProps3.xml><?xml version="1.0" encoding="utf-8"?>
<ds:datastoreItem xmlns:ds="http://schemas.openxmlformats.org/officeDocument/2006/customXml" ds:itemID="{E8C8A13B-D0BF-4E8D-B822-3E9B903A569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