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5_HW_SH146/"/>
    </mc:Choice>
  </mc:AlternateContent>
  <xr:revisionPtr revIDLastSave="29" documentId="8_{F49F3346-0A30-4A3A-A4E2-3DE75976B131}" xr6:coauthVersionLast="40" xr6:coauthVersionMax="40" xr10:uidLastSave="{69B714B8-5753-4CBA-BE79-6BF61CE6D5EE}"/>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I4" i="12"/>
  <c r="E6" i="12"/>
  <c r="M15" i="12"/>
  <c r="D19" i="1"/>
  <c r="D20" i="1"/>
  <c r="D18" i="1"/>
  <c r="E7" i="12"/>
  <c r="B7" i="12"/>
  <c r="E5" i="12"/>
  <c r="L12" i="12"/>
  <c r="L4" i="12"/>
  <c r="B9" i="12"/>
  <c r="D12" i="1"/>
  <c r="E10" i="1"/>
  <c r="E11" i="1"/>
  <c r="E6" i="1"/>
  <c r="E12" i="1"/>
  <c r="E7" i="1"/>
  <c r="E9" i="1"/>
  <c r="E4" i="1"/>
  <c r="H5" i="1"/>
  <c r="E8" i="1"/>
  <c r="H6" i="1"/>
  <c r="E5" i="1"/>
  <c r="H4" i="1"/>
  <c r="C21" i="1"/>
  <c r="D21" i="1"/>
  <c r="H7" i="1"/>
  <c r="E10" i="12"/>
  <c r="E9" i="12"/>
  <c r="E12" i="12"/>
  <c r="E8" i="12"/>
  <c r="N4" i="12"/>
  <c r="O4" i="12"/>
  <c r="Q4" i="12"/>
  <c r="E13" i="12"/>
  <c r="M35" i="12"/>
  <c r="M36" i="12"/>
  <c r="M31" i="12"/>
  <c r="M30" i="12"/>
  <c r="M8" i="12"/>
  <c r="M17" i="12"/>
  <c r="M28" i="12"/>
  <c r="M20" i="12"/>
  <c r="M5" i="12"/>
  <c r="I5" i="12"/>
  <c r="M6" i="12"/>
  <c r="I6" i="12"/>
  <c r="M21" i="12"/>
  <c r="M13" i="12"/>
  <c r="M27" i="12"/>
  <c r="M25" i="12"/>
  <c r="M9" i="12"/>
  <c r="M10" i="12"/>
  <c r="M19" i="12"/>
  <c r="M22" i="12"/>
  <c r="M14" i="12"/>
  <c r="M23"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K5" i="12"/>
  <c r="K6" i="12"/>
  <c r="M7" i="12"/>
  <c r="K7" i="12"/>
  <c r="K8" i="12"/>
  <c r="K9" i="12"/>
  <c r="J4" i="12"/>
  <c r="J5"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1" i="12"/>
  <c r="N5" i="12"/>
  <c r="N6" i="12"/>
  <c r="N7" i="12"/>
  <c r="M12" i="12"/>
  <c r="M16" i="12"/>
  <c r="M11" i="12"/>
  <c r="M34" i="12"/>
  <c r="M32" i="12"/>
  <c r="M18" i="12"/>
  <c r="M29" i="12"/>
  <c r="M24" i="12"/>
  <c r="M33" i="12"/>
  <c r="M26" i="12"/>
  <c r="I7" i="12"/>
  <c r="I8" i="12"/>
  <c r="I9" i="12"/>
  <c r="I10" i="12"/>
  <c r="F20" i="11"/>
  <c r="P4" i="12"/>
  <c r="S4" i="12"/>
  <c r="T4" i="12"/>
  <c r="O6" i="12"/>
  <c r="O5" i="12"/>
  <c r="B29" i="11"/>
  <c r="G29" i="11"/>
  <c r="F4" i="12"/>
  <c r="J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O7" i="12"/>
  <c r="N8" i="12"/>
  <c r="F21" i="11"/>
  <c r="F22" i="11"/>
  <c r="F23" i="11"/>
  <c r="F29" i="11"/>
  <c r="E4"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N9" i="12"/>
  <c r="O8" i="12"/>
  <c r="O9" i="12"/>
  <c r="N10" i="12"/>
  <c r="O10" i="12"/>
  <c r="N11" i="12"/>
  <c r="O11" i="12"/>
  <c r="N12" i="12"/>
  <c r="N13" i="12"/>
  <c r="O12" i="12"/>
  <c r="N14" i="12"/>
  <c r="O13" i="12"/>
  <c r="N15" i="12"/>
  <c r="O14" i="12"/>
  <c r="N16" i="12"/>
  <c r="O15" i="12"/>
  <c r="N17" i="12"/>
  <c r="O16" i="12"/>
  <c r="O17" i="12"/>
  <c r="N18" i="12"/>
  <c r="N19" i="12"/>
  <c r="O18" i="12"/>
  <c r="O19" i="12"/>
  <c r="N20" i="12"/>
  <c r="O20" i="12"/>
  <c r="N21" i="12"/>
  <c r="O21" i="12"/>
  <c r="N22" i="12"/>
  <c r="N23" i="12"/>
  <c r="O22" i="12"/>
  <c r="N24" i="12"/>
  <c r="O23" i="12"/>
  <c r="O24" i="12"/>
  <c r="N25" i="12"/>
  <c r="O25" i="12"/>
  <c r="N26" i="12"/>
  <c r="N27" i="12"/>
  <c r="O26" i="12"/>
  <c r="O27" i="12"/>
  <c r="N28" i="12"/>
  <c r="O28" i="12"/>
  <c r="N29" i="12"/>
  <c r="O29" i="12"/>
  <c r="N30" i="12"/>
  <c r="N31" i="12"/>
  <c r="O30" i="12"/>
  <c r="O31" i="12"/>
  <c r="N32" i="12"/>
  <c r="N33" i="12"/>
  <c r="O32" i="12"/>
  <c r="O33" i="12"/>
  <c r="N34" i="12"/>
  <c r="O34" i="12"/>
  <c r="N35" i="12"/>
  <c r="N36" i="12"/>
  <c r="O36" i="12"/>
  <c r="O35" i="12"/>
  <c r="P10" i="12"/>
  <c r="S10" i="12"/>
  <c r="T10" i="12"/>
  <c r="J11" i="12"/>
  <c r="P5" i="12"/>
  <c r="S5" i="12"/>
  <c r="T5" i="12"/>
  <c r="J6" i="12"/>
  <c r="P6" i="12"/>
  <c r="S6" i="12"/>
  <c r="T6" i="12"/>
  <c r="J7" i="12"/>
  <c r="P11" i="12"/>
  <c r="S11" i="12"/>
  <c r="T11" i="12"/>
  <c r="J12" i="12"/>
  <c r="P12" i="12"/>
  <c r="S12" i="12"/>
  <c r="T12" i="12"/>
  <c r="J13" i="12"/>
  <c r="P7" i="12"/>
  <c r="S7" i="12"/>
  <c r="T7" i="12"/>
  <c r="J8" i="12"/>
  <c r="J9" i="12"/>
  <c r="P9" i="12"/>
  <c r="S9" i="12"/>
  <c r="T9" i="12"/>
  <c r="P8" i="12"/>
  <c r="S8" i="12"/>
  <c r="T8" i="12"/>
  <c r="P13" i="12"/>
  <c r="S13" i="12"/>
  <c r="T13" i="12"/>
  <c r="J14" i="12"/>
  <c r="J15" i="12"/>
  <c r="P14" i="12"/>
  <c r="S14" i="12"/>
  <c r="T14" i="12"/>
  <c r="P15" i="12"/>
  <c r="S15" i="12"/>
  <c r="T15" i="12"/>
  <c r="J16" i="12"/>
  <c r="J17" i="12"/>
  <c r="P16" i="12"/>
  <c r="S16" i="12"/>
  <c r="T16" i="12"/>
  <c r="J18" i="12"/>
  <c r="P17" i="12"/>
  <c r="S17" i="12"/>
  <c r="T17" i="12"/>
  <c r="P18" i="12"/>
  <c r="S18" i="12"/>
  <c r="T18" i="12"/>
  <c r="J19" i="12"/>
  <c r="J20" i="12"/>
  <c r="P19" i="12"/>
  <c r="S19" i="12"/>
  <c r="T19" i="12"/>
  <c r="J21" i="12"/>
  <c r="P20" i="12"/>
  <c r="S20" i="12"/>
  <c r="T20" i="12"/>
  <c r="P21" i="12"/>
  <c r="S21" i="12"/>
  <c r="T21" i="12"/>
  <c r="J22" i="12"/>
  <c r="J23" i="12"/>
  <c r="P22" i="12"/>
  <c r="S22" i="12"/>
  <c r="T22" i="12"/>
  <c r="J24" i="12"/>
  <c r="P23" i="12"/>
  <c r="S23" i="12"/>
  <c r="T23" i="12"/>
  <c r="J25" i="12"/>
  <c r="P24" i="12"/>
  <c r="S24" i="12"/>
  <c r="T24" i="12"/>
  <c r="J26" i="12"/>
  <c r="P25" i="12"/>
  <c r="S25" i="12"/>
  <c r="T25" i="12"/>
  <c r="J27" i="12"/>
  <c r="P26" i="12"/>
  <c r="S26" i="12"/>
  <c r="T26" i="12"/>
  <c r="P27" i="12"/>
  <c r="S27" i="12"/>
  <c r="T27" i="12"/>
  <c r="J28" i="12"/>
  <c r="J29" i="12"/>
  <c r="P28" i="12"/>
  <c r="S28" i="12"/>
  <c r="T28" i="12"/>
  <c r="P29" i="12"/>
  <c r="S29" i="12"/>
  <c r="T29" i="12"/>
  <c r="J30" i="12"/>
  <c r="J31" i="12"/>
  <c r="P30" i="12"/>
  <c r="S30" i="12"/>
  <c r="T30" i="12"/>
  <c r="J32" i="12"/>
  <c r="P31" i="12"/>
  <c r="S31" i="12"/>
  <c r="T31" i="12"/>
  <c r="J33" i="12"/>
  <c r="P32" i="12"/>
  <c r="S32" i="12"/>
  <c r="T32" i="12"/>
  <c r="J34" i="12"/>
  <c r="P33" i="12"/>
  <c r="S33" i="12"/>
  <c r="T33"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<sst xmlns="http://schemas.openxmlformats.org/spreadsheetml/2006/main" count="292" uniqueCount="238">
  <si>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</si>
  <si>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</si>
  <si>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</si>
  <si>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</si>
  <si>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</si>
  <si>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</si>
  <si>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</si>
  <si>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</si>
  <si>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</si>
  <si>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</si>
  <si>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</si>
  <si>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</si>
  <si>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</si>
  <si>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</si>
  <si>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</si>
  <si>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</si>
  <si>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</si>
  <si>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</si>
  <si>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</si>
  <si>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</si>
  <si>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</si>
  <si>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</si>
  <si>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</si>
  <si>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</si>
  <si>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</si>
  <si>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</si>
  <si>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</si>
  <si>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</si>
  <si>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</si>
  <si>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</si>
  <si>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</si>
  <si>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</si>
  <si>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</si>
  <si>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</si>
  <si>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</si>
  <si>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</si>
  <si>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</si>
  <si>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</si>
  <si>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</si>
  <si>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</si>
  <si>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</si>
  <si>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</si>
  <si>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</si>
  <si>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</si>
  <si>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</si>
  <si>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</si>
  <si>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</si>
  <si>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</si>
  <si>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</si>
  <si>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146 Railroad Overpass</t>
  </si>
  <si>
    <t>Data entered by the sponsors</t>
  </si>
  <si>
    <t>County</t>
  </si>
  <si>
    <t>Galveston</t>
  </si>
  <si>
    <t>HGAC regional travel demand model data provided by HGAC</t>
  </si>
  <si>
    <t>Facility Type</t>
  </si>
  <si>
    <t>Non Freeway</t>
  </si>
  <si>
    <t>Data populated/calculated based on inputs</t>
  </si>
  <si>
    <t>Street Name:</t>
  </si>
  <si>
    <t>SH 146</t>
  </si>
  <si>
    <t>Benefits calculated by the template</t>
  </si>
  <si>
    <t>Limits (From)</t>
  </si>
  <si>
    <t>FM 519</t>
  </si>
  <si>
    <t>Limits (To)</t>
  </si>
  <si>
    <t>LOOP 197</t>
  </si>
  <si>
    <t>Length (in Miles)</t>
  </si>
  <si>
    <t>Application ID Number:</t>
  </si>
  <si>
    <t>Sponsor ID Number (CSJ, etc.):</t>
  </si>
  <si>
    <t>0389-07-025</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</si>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</sst>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xr3:uid="{51F8DEE0-4D01-5F28-A812-FC0BD7CAC4A5}">
      <selection activeCell="B34" sqref="B34"/>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1.72</v>
      </c>
    </row>
    <row r="13" spans="1:7">
      <c r="A13" s="7" t="s">
        <v>65</v>
      </c>
      <c r="B13" s="116"/>
      <c r="F13" s="99"/>
    </row>
    <row r="14" spans="1:7">
      <c r="A14" s="7" t="s">
        <v>66</v>
      </c>
      <c r="B14" s="116" t="s">
        <v>67</v>
      </c>
    </row>
    <row r="17" spans="1:7">
      <c r="A17" s="98" t="s">
        <v>68</v>
      </c>
      <c r="E17" s="130" t="s">
        <v>69</v>
      </c>
      <c r="F17" s="131"/>
    </row>
    <row r="18" spans="1:7">
      <c r="A18" s="7" t="s">
        <v>70</v>
      </c>
      <c r="B18" s="117">
        <v>2024</v>
      </c>
      <c r="E18" s="87" t="s">
        <v>71</v>
      </c>
      <c r="F18" s="122">
        <f>$B$12/$B$32</f>
        <v>3.5833333333333335E-2</v>
      </c>
    </row>
    <row r="19" spans="1:7" ht="30">
      <c r="A19" s="7" t="s">
        <v>72</v>
      </c>
      <c r="B19" s="118" t="s">
        <v>73</v>
      </c>
      <c r="E19" s="89" t="s">
        <v>74</v>
      </c>
      <c r="F19" s="123">
        <f>$B$12/$B$33</f>
        <v>5.7333333333333333E-2</v>
      </c>
    </row>
    <row r="20" spans="1:7" ht="28.9">
      <c r="A20" s="113" t="s">
        <v>75</v>
      </c>
      <c r="B20" s="114">
        <f>VLOOKUP(B19,'Delay Reduction Factors'!B4:C80,2, FALSE)</f>
        <v>0.2</v>
      </c>
      <c r="E20" s="89" t="s">
        <v>76</v>
      </c>
      <c r="F20" s="122">
        <f>$F$19-$F$18</f>
        <v>2.1499999999999998E-2</v>
      </c>
    </row>
    <row r="21" spans="1:7">
      <c r="A21" s="7" t="s">
        <v>77</v>
      </c>
      <c r="B21" s="63">
        <v>20</v>
      </c>
      <c r="D21" s="100"/>
      <c r="E21" s="87" t="s">
        <v>78</v>
      </c>
      <c r="F21" s="122">
        <f>$F$20*$B$20</f>
        <v>4.3E-3</v>
      </c>
      <c r="G21" s="101"/>
    </row>
    <row r="22" spans="1:7">
      <c r="D22" s="100"/>
      <c r="E22" s="87" t="s">
        <v>79</v>
      </c>
      <c r="F22" s="122">
        <f>$F$20-$F$21</f>
        <v>1.72E-2</v>
      </c>
      <c r="G22" s="101"/>
    </row>
    <row r="23" spans="1:7">
      <c r="E23" s="87" t="s">
        <v>80</v>
      </c>
      <c r="F23" s="122">
        <f>$F$18+$F$22</f>
        <v>5.3033333333333335E-2</v>
      </c>
    </row>
    <row r="24" spans="1:7">
      <c r="A24" s="98" t="s">
        <v>81</v>
      </c>
      <c r="B24" s="102"/>
      <c r="D24" s="100"/>
    </row>
    <row r="25" spans="1:7">
      <c r="A25" s="7" t="s">
        <v>82</v>
      </c>
      <c r="B25" s="126">
        <v>18585</v>
      </c>
      <c r="D25" s="100"/>
    </row>
    <row r="28" spans="1:7">
      <c r="A28" s="87" t="s">
        <v>83</v>
      </c>
      <c r="B28" s="112">
        <f>IF(FacilityType='Delay Reduction Factors'!N5,'Inputs &amp; Outputs'!B25*45%, B25*43%)</f>
        <v>7991.55</v>
      </c>
      <c r="D28" s="100"/>
      <c r="E28" s="103" t="s">
        <v>84</v>
      </c>
      <c r="F28" s="104" t="s">
        <v>2</v>
      </c>
      <c r="G28" s="105" t="s">
        <v>85</v>
      </c>
    </row>
    <row r="29" spans="1:7">
      <c r="A29" s="87" t="s">
        <v>86</v>
      </c>
      <c r="B29" s="95">
        <f>VLOOKUP(Year_Open_to_Traffic?,Calculations!H4:I36,2)</f>
        <v>9692.2592536621942</v>
      </c>
      <c r="D29" s="100"/>
      <c r="E29" s="89" t="s">
        <v>87</v>
      </c>
      <c r="F29" s="83">
        <f>$B$29*$F$23</f>
        <v>514.01281575255166</v>
      </c>
      <c r="G29" s="84">
        <f>$B$29*$F$19</f>
        <v>555.68953054329916</v>
      </c>
    </row>
    <row r="30" spans="1:7">
      <c r="B30" s="82"/>
      <c r="D30" s="100"/>
    </row>
    <row r="32" spans="1:7">
      <c r="A32" s="106" t="s">
        <v>88</v>
      </c>
      <c r="B32" s="119">
        <v>48</v>
      </c>
      <c r="D32" s="100"/>
    </row>
    <row r="33" spans="1:7" ht="28.9">
      <c r="A33" s="107" t="s">
        <v>89</v>
      </c>
      <c r="B33" s="120">
        <v>30</v>
      </c>
      <c r="D33" s="100"/>
      <c r="E33" s="100"/>
      <c r="F33" s="108"/>
    </row>
    <row r="34" spans="1:7">
      <c r="A34" s="109"/>
      <c r="B34" s="121"/>
      <c r="F34" s="108"/>
      <c r="G34" s="108"/>
    </row>
    <row r="35" spans="1:7">
      <c r="A35" s="87" t="s">
        <v>90</v>
      </c>
      <c r="B35" s="125">
        <f>$B$28</f>
        <v>7991.55</v>
      </c>
    </row>
    <row r="36" spans="1:7">
      <c r="A36" s="106" t="s">
        <v>91</v>
      </c>
      <c r="B36" s="119">
        <v>17848</v>
      </c>
    </row>
    <row r="37" spans="1:7">
      <c r="A37" s="106" t="s">
        <v>92</v>
      </c>
      <c r="B37" s="119">
        <v>10009</v>
      </c>
    </row>
    <row r="38" spans="1:7">
      <c r="A38" s="106" t="s">
        <v>93</v>
      </c>
      <c r="B38" s="119">
        <v>29095</v>
      </c>
    </row>
    <row r="39" spans="1:7">
      <c r="A39" s="106" t="s">
        <v>94</v>
      </c>
      <c r="B39" s="119">
        <v>11869</v>
      </c>
    </row>
    <row r="40" spans="1:7">
      <c r="A40" s="106" t="s">
        <v>95</v>
      </c>
      <c r="B40" s="119">
        <v>29095</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3016.1730501943002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133643.33209566344</v>
      </c>
      <c r="F4" s="21">
        <f>'Inputs &amp; Outputs'!G29*Annual_Days_of_Travel</f>
        <v>144479.27794125778</v>
      </c>
      <c r="H4" s="49">
        <v>2018</v>
      </c>
      <c r="I4" s="50">
        <f>'Inputs &amp; Outputs'!B28</f>
        <v>7991.55</v>
      </c>
      <c r="J4" s="50">
        <f>IF(H4=Year_Open_to_Traffic?,$F$4,0)</f>
        <v>0</v>
      </c>
      <c r="K4" s="50">
        <f>IF(H4=Year_Open_to_Traffic?,Calculations!$E$4,0)</f>
        <v>0</v>
      </c>
      <c r="L4" s="50">
        <f>IF(AND(H4&gt;=Year_Open_to_Traffic?, Calculations!H4&lt;Year_Open_to_Traffic?+'Inputs &amp; Outputs'!B$21), 1, 0)</f>
        <v>0</v>
      </c>
      <c r="M4" s="65" t="s">
        <v>111</v>
      </c>
      <c r="N4" s="66">
        <f>MIN(E8,1)</f>
        <v>0.44775605109816224</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3.2679764134262879E-2</v>
      </c>
      <c r="F5" s="26"/>
      <c r="H5" s="14">
        <f t="shared" ref="H5:H36" si="3">H4+1</f>
        <v>2019</v>
      </c>
      <c r="I5" s="79">
        <f>(I4*M5)+I4</f>
        <v>8252.711969067168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3.2679764134262879E-2</v>
      </c>
      <c r="N5" s="71">
        <f t="shared" ref="N5:N11" si="6">N4*(1+IFERROR(_2018_2025_V_C_Growth,_2018_2045_V_C_Growth))</f>
        <v>0.43120990685904764</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8.5586814105238496E-3</v>
      </c>
      <c r="F6" s="26"/>
      <c r="H6" s="49">
        <f t="shared" si="3"/>
        <v>2020</v>
      </c>
      <c r="I6" s="79">
        <f t="shared" ref="I6:I36" si="10">(I5*M6)+I5</f>
        <v>8522.408649684292</v>
      </c>
      <c r="J6" s="50">
        <f t="shared" si="4"/>
        <v>0</v>
      </c>
      <c r="K6" s="50">
        <f>IF(H6=Year_Open_to_Traffic?,Calculations!$E$4,K5+(K5*M6))</f>
        <v>0</v>
      </c>
      <c r="L6" s="50">
        <f>IF(AND(H6&gt;=Year_Open_to_Traffic?, Calculations!H6&lt;Year_Open_to_Traffic?+'Inputs &amp; Outputs'!B$21), 1, 0)</f>
        <v>0</v>
      </c>
      <c r="M6" s="65">
        <f t="shared" si="5"/>
        <v>3.2679764134262879E-2</v>
      </c>
      <c r="N6" s="71">
        <f t="shared" si="6"/>
        <v>0.41527520022867137</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1.4757657773028621E-2</v>
      </c>
      <c r="F7" s="26"/>
      <c r="H7" s="14">
        <f t="shared" si="3"/>
        <v>2021</v>
      </c>
      <c r="I7" s="79">
        <f t="shared" si="10"/>
        <v>8800.9189542117765</v>
      </c>
      <c r="J7" s="50">
        <f t="shared" si="4"/>
        <v>0</v>
      </c>
      <c r="K7" s="50">
        <f>IF(H7=Year_Open_to_Traffic?,Calculations!$E$4,K6+(K6*M7))</f>
        <v>0</v>
      </c>
      <c r="L7" s="50">
        <f>IF(AND(H7&gt;=Year_Open_to_Traffic?, Calculations!H7&lt;Year_Open_to_Traffic?+'Inputs &amp; Outputs'!B$21), 1, 0)</f>
        <v>0</v>
      </c>
      <c r="M7" s="65">
        <f t="shared" si="5"/>
        <v>3.2679764134262879E-2</v>
      </c>
      <c r="N7" s="71">
        <f t="shared" si="6"/>
        <v>0.39992933645964235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0.44775605109816224</v>
      </c>
      <c r="F8" s="26"/>
      <c r="H8" s="49">
        <f t="shared" si="3"/>
        <v>2022</v>
      </c>
      <c r="I8" s="79">
        <f t="shared" si="10"/>
        <v>9088.5309098001817</v>
      </c>
      <c r="J8" s="50">
        <f t="shared" si="4"/>
        <v>0</v>
      </c>
      <c r="K8" s="50">
        <f>IF(H8=Year_Open_to_Traffic?,Calculations!$E$4,K7+(K7*M8))</f>
        <v>0</v>
      </c>
      <c r="L8" s="50">
        <f>IF(AND(H8&gt;=Year_Open_to_Traffic?, Calculations!H8&lt;Year_Open_to_Traffic?+'Inputs &amp; Outputs'!B$21), 1, 0)</f>
        <v>0</v>
      </c>
      <c r="M8" s="65">
        <f t="shared" si="5"/>
        <v>3.2679764134262879E-2</v>
      </c>
      <c r="N8" s="71">
        <f t="shared" si="6"/>
        <v>0.38515055575911328</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0.34401099845334249</v>
      </c>
      <c r="F9" s="26"/>
      <c r="H9" s="14">
        <f t="shared" si="3"/>
        <v>2023</v>
      </c>
      <c r="I9" s="79">
        <f t="shared" si="10"/>
        <v>9385.5419562594088</v>
      </c>
      <c r="J9" s="50">
        <f t="shared" si="4"/>
        <v>0</v>
      </c>
      <c r="K9" s="50">
        <f>IF(H9=Year_Open_to_Traffic?,Calculations!$E$4,K8+(K8*M9))</f>
        <v>0</v>
      </c>
      <c r="L9" s="50">
        <f>IF(AND(H9&gt;=Year_Open_to_Traffic?, Calculations!H9&lt;Year_Open_to_Traffic?+'Inputs &amp; Outputs'!B$21), 1, 0)</f>
        <v>0</v>
      </c>
      <c r="M9" s="65">
        <f t="shared" si="5"/>
        <v>3.2679764134262879E-2</v>
      </c>
      <c r="N9" s="71">
        <f t="shared" si="6"/>
        <v>0.37091790243430467</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0.40793950850661626</v>
      </c>
      <c r="F10" s="26"/>
      <c r="H10" s="49">
        <f t="shared" si="3"/>
        <v>2024</v>
      </c>
      <c r="I10" s="79">
        <f t="shared" si="10"/>
        <v>9692.2592536621942</v>
      </c>
      <c r="J10" s="50">
        <f t="shared" si="4"/>
        <v>144479.27794125778</v>
      </c>
      <c r="K10" s="50">
        <f>IF(H10=Year_Open_to_Traffic?,Calculations!$E$4,K9+(K9*M10))</f>
        <v>133643.33209566344</v>
      </c>
      <c r="L10" s="50">
        <f>IF(AND(H10&gt;=Year_Open_to_Traffic?, Calculations!H10&lt;Year_Open_to_Traffic?+'Inputs &amp; Outputs'!B$21), 1, 0)</f>
        <v>1</v>
      </c>
      <c r="M10" s="65">
        <f t="shared" si="5"/>
        <v>3.2679764134262879E-2</v>
      </c>
      <c r="N10" s="71">
        <f t="shared" si="6"/>
        <v>0.35721119517820921</v>
      </c>
      <c r="O10" s="72">
        <f t="shared" si="7"/>
        <v>1</v>
      </c>
      <c r="P10" s="68">
        <f>(J10-K10)*L10</f>
        <v>10835.945845594339</v>
      </c>
      <c r="Q10" s="69">
        <f t="shared" si="0"/>
        <v>1</v>
      </c>
      <c r="R10" s="70">
        <f t="shared" si="1"/>
        <v>20.320200961804083</v>
      </c>
      <c r="S10" s="77">
        <f t="shared" si="2"/>
        <v>306.06215009924722</v>
      </c>
      <c r="T10" s="64">
        <f t="shared" si="9"/>
        <v>203.94213372319564</v>
      </c>
      <c r="W10" s="58"/>
    </row>
    <row r="11" spans="1:24" ht="30" customHeight="1">
      <c r="A11" s="132" t="s">
        <v>121</v>
      </c>
      <c r="B11" s="133"/>
      <c r="D11" s="17" t="s">
        <v>122</v>
      </c>
      <c r="E11" s="39">
        <f>(E9/E8)^(1/(2025-2018))-1</f>
        <v>-3.6953479910620257E-2</v>
      </c>
      <c r="F11" s="26"/>
      <c r="H11" s="14">
        <f t="shared" si="3"/>
        <v>2025</v>
      </c>
      <c r="I11" s="79">
        <f t="shared" si="10"/>
        <v>10009.000000000002</v>
      </c>
      <c r="J11" s="50">
        <f t="shared" si="4"/>
        <v>149200.82666666669</v>
      </c>
      <c r="K11" s="50">
        <f>IF(H11=Year_Open_to_Traffic?,Calculations!$E$4,K10+(K10*M11))</f>
        <v>138010.76466666668</v>
      </c>
      <c r="L11" s="50">
        <f>IF(AND(H11&gt;=Year_Open_to_Traffic?, Calculations!H11&lt;Year_Open_to_Traffic?+'Inputs &amp; Outputs'!B$21), 1, 0)</f>
        <v>1</v>
      </c>
      <c r="M11" s="65">
        <f t="shared" si="5"/>
        <v>3.2679764134262879E-2</v>
      </c>
      <c r="N11" s="71">
        <f t="shared" si="6"/>
        <v>0.3440109984533426</v>
      </c>
      <c r="O11" s="72">
        <f t="shared" si="7"/>
        <v>1</v>
      </c>
      <c r="P11" s="68">
        <f t="shared" si="8"/>
        <v>11190.062000000005</v>
      </c>
      <c r="Q11" s="69">
        <f t="shared" si="0"/>
        <v>1</v>
      </c>
      <c r="R11" s="70">
        <f t="shared" si="1"/>
        <v>20.787565583925574</v>
      </c>
      <c r="S11" s="77">
        <f t="shared" si="2"/>
        <v>323.33366532133891</v>
      </c>
      <c r="T11" s="64">
        <f t="shared" si="9"/>
        <v>201.35595662146258</v>
      </c>
      <c r="W11" s="58"/>
    </row>
    <row r="12" spans="1:24">
      <c r="A12" s="17" t="s">
        <v>123</v>
      </c>
      <c r="B12" s="18">
        <v>0.45</v>
      </c>
      <c r="D12" s="17" t="s">
        <v>124</v>
      </c>
      <c r="E12" s="39">
        <f>(E10/E9)^(1/(2045-2025))-1</f>
        <v>8.5586814105238496E-3</v>
      </c>
      <c r="F12" s="26"/>
      <c r="H12" s="49">
        <v>2026</v>
      </c>
      <c r="I12" s="79">
        <f t="shared" si="10"/>
        <v>10094.663842237935</v>
      </c>
      <c r="J12" s="50">
        <f t="shared" si="4"/>
        <v>150477.78900829348</v>
      </c>
      <c r="K12" s="50">
        <f>IF(H12=Year_Open_to_Traffic?,Calculations!$E$4,K11+(K11*M12))</f>
        <v>139191.95483267147</v>
      </c>
      <c r="L12" s="50">
        <f>IF(AND(H12&gt;=Year_Open_to_Traffic?, Calculations!H12&lt;Year_Open_to_Traffic?+'Inputs &amp; Outputs'!B$21), 1, 0)</f>
        <v>1</v>
      </c>
      <c r="M12" s="65">
        <f t="shared" ref="M12:M36" si="11">IFERROR(_2025_2045_Demand_Growth,_2018_2045_Demand_Growth)</f>
        <v>8.5586814105238496E-3</v>
      </c>
      <c r="N12" s="71">
        <f t="shared" ref="N12:N36" si="12">N11*(1+IFERROR(_2025_2045_V_C_Growth,_2018_2045_V_C_Growth))</f>
        <v>0.34695527899082096</v>
      </c>
      <c r="O12" s="72">
        <f t="shared" si="7"/>
        <v>1</v>
      </c>
      <c r="P12" s="68">
        <f t="shared" si="8"/>
        <v>11285.834175622003</v>
      </c>
      <c r="Q12" s="69">
        <f t="shared" si="0"/>
        <v>1</v>
      </c>
      <c r="R12" s="70">
        <f t="shared" si="1"/>
        <v>21.265679592355859</v>
      </c>
      <c r="S12" s="77">
        <f t="shared" si="2"/>
        <v>333.60129758061959</v>
      </c>
      <c r="T12" s="64">
        <f t="shared" si="9"/>
        <v>194.15899248663132</v>
      </c>
      <c r="W12" s="58"/>
    </row>
    <row r="13" spans="1:24">
      <c r="A13" s="17" t="s">
        <v>55</v>
      </c>
      <c r="B13" s="18">
        <v>0.43</v>
      </c>
      <c r="D13" s="17" t="s">
        <v>125</v>
      </c>
      <c r="E13" s="39">
        <f>(E10/E8)^(1/(2045-2018))-1</f>
        <v>-3.4433046776370935E-3</v>
      </c>
      <c r="F13" s="26"/>
      <c r="H13" s="14">
        <f t="shared" si="3"/>
        <v>2027</v>
      </c>
      <c r="I13" s="79">
        <f t="shared" si="10"/>
        <v>10181.060854009984</v>
      </c>
      <c r="J13" s="50">
        <f t="shared" si="4"/>
        <v>151765.6804637755</v>
      </c>
      <c r="K13" s="50">
        <f>IF(H13=Year_Open_to_Traffic?,Calculations!$E$4,K12+(K12*M13))</f>
        <v>140383.25442899234</v>
      </c>
      <c r="L13" s="50">
        <f>IF(AND(H13&gt;=Year_Open_to_Traffic?, Calculations!H13&lt;Year_Open_to_Traffic?+'Inputs &amp; Outputs'!B$21), 1, 0)</f>
        <v>1</v>
      </c>
      <c r="M13" s="65">
        <f t="shared" si="11"/>
        <v>8.5586814105238496E-3</v>
      </c>
      <c r="N13" s="71">
        <f t="shared" si="12"/>
        <v>0.3499247586874028</v>
      </c>
      <c r="O13" s="72">
        <f t="shared" si="7"/>
        <v>1</v>
      </c>
      <c r="P13" s="68">
        <f t="shared" si="8"/>
        <v>11382.426034783159</v>
      </c>
      <c r="Q13" s="69">
        <f t="shared" si="0"/>
        <v>1</v>
      </c>
      <c r="R13" s="70">
        <f t="shared" si="1"/>
        <v>21.754790222980041</v>
      </c>
      <c r="S13" s="77">
        <f t="shared" si="2"/>
        <v>344.19498395525886</v>
      </c>
      <c r="T13" s="64">
        <f t="shared" si="9"/>
        <v>187.21926580147473</v>
      </c>
      <c r="W13" s="58"/>
    </row>
    <row r="14" spans="1:24">
      <c r="H14" s="49">
        <f>H13+1</f>
        <v>2028</v>
      </c>
      <c r="I14" s="79">
        <f t="shared" si="10"/>
        <v>10268.197310280611</v>
      </c>
      <c r="J14" s="50">
        <f t="shared" si="4"/>
        <v>153064.59457191633</v>
      </c>
      <c r="K14" s="50">
        <f>IF(H14=Year_Open_to_Traffic?,Calculations!$E$4,K13+(K13*M14))</f>
        <v>141584.7499790226</v>
      </c>
      <c r="L14" s="50">
        <f>IF(AND(H14&gt;=Year_Open_to_Traffic?, Calculations!H14&lt;Year_Open_to_Traffic?+'Inputs &amp; Outputs'!B$21), 1, 0)</f>
        <v>1</v>
      </c>
      <c r="M14" s="65">
        <f t="shared" si="11"/>
        <v>8.5586814105238496E-3</v>
      </c>
      <c r="N14" s="71">
        <f t="shared" si="12"/>
        <v>0.35291965321466273</v>
      </c>
      <c r="O14" s="72">
        <f t="shared" si="7"/>
        <v>1</v>
      </c>
      <c r="P14" s="68">
        <f t="shared" si="8"/>
        <v>11479.844592893729</v>
      </c>
      <c r="Q14" s="69">
        <f t="shared" si="0"/>
        <v>1</v>
      </c>
      <c r="R14" s="70">
        <f t="shared" si="1"/>
        <v>22.255150398108579</v>
      </c>
      <c r="S14" s="77">
        <f t="shared" si="2"/>
        <v>355.12507846685122</v>
      </c>
      <c r="T14" s="64">
        <f t="shared" si="9"/>
        <v>180.52758225790993</v>
      </c>
      <c r="W14" s="58"/>
    </row>
    <row r="15" spans="1:24">
      <c r="H15" s="14">
        <f t="shared" si="3"/>
        <v>2029</v>
      </c>
      <c r="I15" s="79">
        <f t="shared" si="10"/>
        <v>10356.079539719702</v>
      </c>
      <c r="J15" s="50">
        <f t="shared" si="4"/>
        <v>154374.62567208835</v>
      </c>
      <c r="K15" s="50">
        <f>IF(H15=Year_Open_to_Traffic?,Calculations!$E$4,K14+(K14*M15))</f>
        <v>142796.52874668172</v>
      </c>
      <c r="L15" s="50">
        <f>IF(AND(H15&gt;=Year_Open_to_Traffic?, Calculations!H15&lt;Year_Open_to_Traffic?+'Inputs &amp; Outputs'!B$21), 1, 0)</f>
        <v>1</v>
      </c>
      <c r="M15" s="65">
        <f t="shared" si="11"/>
        <v>8.5586814105238496E-3</v>
      </c>
      <c r="N15" s="71">
        <f t="shared" si="12"/>
        <v>0.35594018009003958</v>
      </c>
      <c r="O15" s="72">
        <f t="shared" si="7"/>
        <v>1</v>
      </c>
      <c r="P15" s="68">
        <f t="shared" si="8"/>
        <v>11578.096925406629</v>
      </c>
      <c r="Q15" s="69">
        <f t="shared" si="0"/>
        <v>1</v>
      </c>
      <c r="R15" s="70">
        <f t="shared" si="1"/>
        <v>22.767018857265079</v>
      </c>
      <c r="S15" s="77">
        <f t="shared" si="2"/>
        <v>366.40226393444595</v>
      </c>
      <c r="T15" s="64">
        <f t="shared" si="9"/>
        <v>174.07507617535853</v>
      </c>
      <c r="W15" s="58"/>
    </row>
    <row r="16" spans="1:24">
      <c r="H16" s="49">
        <f t="shared" si="3"/>
        <v>2030</v>
      </c>
      <c r="I16" s="79">
        <f t="shared" si="10"/>
        <v>10444.713925162207</v>
      </c>
      <c r="J16" s="50">
        <f t="shared" si="4"/>
        <v>155695.86891108463</v>
      </c>
      <c r="K16" s="50">
        <f>IF(H16=Year_Open_to_Traffic?,Calculations!$E$4,K15+(K15*M16))</f>
        <v>144018.67874275328</v>
      </c>
      <c r="L16" s="50">
        <f>IF(AND(H16&gt;=Year_Open_to_Traffic?, Calculations!H16&lt;Year_Open_to_Traffic?+'Inputs &amp; Outputs'!B$21), 1, 0)</f>
        <v>1</v>
      </c>
      <c r="M16" s="65">
        <f t="shared" si="11"/>
        <v>8.5586814105238496E-3</v>
      </c>
      <c r="N16" s="71">
        <f t="shared" si="12"/>
        <v>0.35898655869263474</v>
      </c>
      <c r="O16" s="72">
        <f t="shared" si="7"/>
        <v>1</v>
      </c>
      <c r="P16" s="68">
        <f t="shared" si="8"/>
        <v>11677.190168331348</v>
      </c>
      <c r="Q16" s="69">
        <f t="shared" si="0"/>
        <v>1</v>
      </c>
      <c r="R16" s="70">
        <f t="shared" si="1"/>
        <v>23.290660290982171</v>
      </c>
      <c r="S16" s="77">
        <f t="shared" si="2"/>
        <v>378.03756241568527</v>
      </c>
      <c r="T16" s="64">
        <f t="shared" si="9"/>
        <v>167.85319875478018</v>
      </c>
      <c r="W16" s="58"/>
    </row>
    <row r="17" spans="1:23">
      <c r="A17" s="27"/>
      <c r="H17" s="14">
        <f t="shared" si="3"/>
        <v>2031</v>
      </c>
      <c r="I17" s="79">
        <f t="shared" si="10"/>
        <v>10534.106904071732</v>
      </c>
      <c r="J17" s="50">
        <f t="shared" si="4"/>
        <v>157028.4202500293</v>
      </c>
      <c r="K17" s="50">
        <f>IF(H17=Year_Open_to_Traffic?,Calculations!$E$4,K16+(K16*M17))</f>
        <v>145251.28873127711</v>
      </c>
      <c r="L17" s="50">
        <f>IF(AND(H17&gt;=Year_Open_to_Traffic?, Calculations!H17&lt;Year_Open_to_Traffic?+'Inputs &amp; Outputs'!B$21), 1, 0)</f>
        <v>1</v>
      </c>
      <c r="M17" s="65">
        <f t="shared" si="11"/>
        <v>8.5586814105238496E-3</v>
      </c>
      <c r="N17" s="71">
        <f t="shared" si="12"/>
        <v>0.36205901027914533</v>
      </c>
      <c r="O17" s="72">
        <f t="shared" si="7"/>
        <v>1</v>
      </c>
      <c r="P17" s="68">
        <f t="shared" si="8"/>
        <v>11777.131518752198</v>
      </c>
      <c r="Q17" s="69">
        <f t="shared" si="0"/>
        <v>1</v>
      </c>
      <c r="R17" s="70">
        <f t="shared" si="1"/>
        <v>23.82634547767476</v>
      </c>
      <c r="S17" s="77">
        <f t="shared" si="2"/>
        <v>390.04234597950523</v>
      </c>
      <c r="T17" s="64">
        <f t="shared" si="9"/>
        <v>161.85370675253535</v>
      </c>
      <c r="W17" s="58"/>
    </row>
    <row r="18" spans="1:23">
      <c r="H18" s="49">
        <f t="shared" si="3"/>
        <v>2032</v>
      </c>
      <c r="I18" s="79">
        <f t="shared" si="10"/>
        <v>10624.264969008082</v>
      </c>
      <c r="J18" s="50">
        <f t="shared" si="4"/>
        <v>158372.37647134715</v>
      </c>
      <c r="K18" s="50">
        <f>IF(H18=Year_Open_to_Traffic?,Calculations!$E$4,K17+(K17*M18))</f>
        <v>146494.44823599613</v>
      </c>
      <c r="L18" s="50">
        <f>IF(AND(H18&gt;=Year_Open_to_Traffic?, Calculations!H18&lt;Year_Open_to_Traffic?+'Inputs &amp; Outputs'!B$21), 1, 0)</f>
        <v>1</v>
      </c>
      <c r="M18" s="65">
        <f t="shared" si="11"/>
        <v>8.5586814105238496E-3</v>
      </c>
      <c r="N18" s="71">
        <f t="shared" si="12"/>
        <v>0.36515775799993411</v>
      </c>
      <c r="O18" s="72">
        <f t="shared" si="7"/>
        <v>1</v>
      </c>
      <c r="P18" s="68">
        <f t="shared" si="8"/>
        <v>11877.928235351021</v>
      </c>
      <c r="Q18" s="69">
        <f t="shared" si="0"/>
        <v>1</v>
      </c>
      <c r="R18" s="70">
        <f t="shared" si="1"/>
        <v>24.374351423661277</v>
      </c>
      <c r="S18" s="77">
        <f t="shared" si="2"/>
        <v>402.42834782092973</v>
      </c>
      <c r="T18" s="64">
        <f t="shared" si="9"/>
        <v>156.06865155907337</v>
      </c>
      <c r="W18" s="58"/>
    </row>
    <row r="19" spans="1:23">
      <c r="H19" s="14">
        <f t="shared" si="3"/>
        <v>2033</v>
      </c>
      <c r="I19" s="79">
        <f t="shared" si="10"/>
        <v>10715.194668098811</v>
      </c>
      <c r="J19" s="50">
        <f t="shared" si="4"/>
        <v>159727.83518579294</v>
      </c>
      <c r="K19" s="50">
        <f>IF(H19=Year_Open_to_Traffic?,Calculations!$E$4,K18+(K18*M19))</f>
        <v>147748.2475468585</v>
      </c>
      <c r="L19" s="50">
        <f>IF(AND(H19&gt;=Year_Open_to_Traffic?, Calculations!H19&lt;Year_Open_to_Traffic?+'Inputs &amp; Outputs'!B$21), 1, 0)</f>
        <v>1</v>
      </c>
      <c r="M19" s="65">
        <f t="shared" si="11"/>
        <v>8.5586814105238496E-3</v>
      </c>
      <c r="N19" s="71">
        <f t="shared" si="12"/>
        <v>0.36828302691523673</v>
      </c>
      <c r="O19" s="72">
        <f t="shared" si="7"/>
        <v>1</v>
      </c>
      <c r="P19" s="68">
        <f t="shared" si="8"/>
        <v>11979.587638934434</v>
      </c>
      <c r="Q19" s="69">
        <f t="shared" si="0"/>
        <v>1</v>
      </c>
      <c r="R19" s="70">
        <f t="shared" si="1"/>
        <v>24.934961506405479</v>
      </c>
      <c r="S19" s="77">
        <f t="shared" si="2"/>
        <v>415.20767372882295</v>
      </c>
      <c r="T19" s="64">
        <f t="shared" si="9"/>
        <v>150.49036866797542</v>
      </c>
      <c r="W19" s="58"/>
    </row>
    <row r="20" spans="1:23">
      <c r="H20" s="49">
        <f t="shared" si="3"/>
        <v>2034</v>
      </c>
      <c r="I20" s="79">
        <f t="shared" si="10"/>
        <v>10806.902605514813</v>
      </c>
      <c r="J20" s="50">
        <f t="shared" si="4"/>
        <v>161094.89483954079</v>
      </c>
      <c r="K20" s="50">
        <f>IF(H20=Year_Open_to_Traffic?,Calculations!$E$4,K19+(K19*M20))</f>
        <v>149012.77772657527</v>
      </c>
      <c r="L20" s="50">
        <f>IF(AND(H20&gt;=Year_Open_to_Traffic?, Calculations!H20&lt;Year_Open_to_Traffic?+'Inputs &amp; Outputs'!B$21), 1, 0)</f>
        <v>1</v>
      </c>
      <c r="M20" s="65">
        <f t="shared" si="11"/>
        <v>8.5586814105238496E-3</v>
      </c>
      <c r="N20" s="71">
        <f t="shared" si="12"/>
        <v>0.37143504401150762</v>
      </c>
      <c r="O20" s="72">
        <f t="shared" si="7"/>
        <v>1</v>
      </c>
      <c r="P20" s="68">
        <f t="shared" si="8"/>
        <v>12082.117112965527</v>
      </c>
      <c r="Q20" s="69">
        <f t="shared" si="0"/>
        <v>1</v>
      </c>
      <c r="R20" s="70">
        <f t="shared" si="1"/>
        <v>25.508465621052807</v>
      </c>
      <c r="S20" s="77">
        <f t="shared" si="2"/>
        <v>428.39281391780469</v>
      </c>
      <c r="T20" s="64">
        <f t="shared" si="9"/>
        <v>145.11146752140036</v>
      </c>
      <c r="W20" s="58"/>
    </row>
    <row r="21" spans="1:23">
      <c r="H21" s="14">
        <f t="shared" si="3"/>
        <v>2035</v>
      </c>
      <c r="I21" s="79">
        <f t="shared" si="10"/>
        <v>10899.395441949975</v>
      </c>
      <c r="J21" s="50">
        <f t="shared" si="4"/>
        <v>162473.65472133426</v>
      </c>
      <c r="K21" s="50">
        <f>IF(H21=Year_Open_to_Traffic?,Calculations!$E$4,K20+(K20*M21))</f>
        <v>150288.13061723422</v>
      </c>
      <c r="L21" s="50">
        <f>IF(AND(H21&gt;=Year_Open_to_Traffic?, Calculations!H21&lt;Year_Open_to_Traffic?+'Inputs &amp; Outputs'!B$21), 1, 0)</f>
        <v>1</v>
      </c>
      <c r="M21" s="65">
        <f t="shared" si="11"/>
        <v>8.5586814105238496E-3</v>
      </c>
      <c r="N21" s="71">
        <f t="shared" si="12"/>
        <v>0.37461403821790601</v>
      </c>
      <c r="O21" s="72">
        <f t="shared" si="7"/>
        <v>1</v>
      </c>
      <c r="P21" s="68">
        <f t="shared" si="8"/>
        <v>12185.524104100041</v>
      </c>
      <c r="Q21" s="69">
        <f t="shared" si="0"/>
        <v>1</v>
      </c>
      <c r="R21" s="70">
        <f t="shared" si="1"/>
        <v>26.095160330337016</v>
      </c>
      <c r="S21" s="77">
        <f t="shared" si="2"/>
        <v>441.9966552358909</v>
      </c>
      <c r="T21" s="64">
        <f t="shared" si="9"/>
        <v>139.9248217184776</v>
      </c>
      <c r="W21" s="58"/>
    </row>
    <row r="22" spans="1:23">
      <c r="H22" s="49">
        <f>H21+1</f>
        <v>2036</v>
      </c>
      <c r="I22" s="79">
        <f t="shared" si="10"/>
        <v>10992.67989510494</v>
      </c>
      <c r="J22" s="50">
        <f t="shared" si="4"/>
        <v>163864.21496969761</v>
      </c>
      <c r="K22" s="50">
        <f>IF(H22=Year_Open_to_Traffic?,Calculations!$E$4,K21+(K21*M22))</f>
        <v>151574.39884697032</v>
      </c>
      <c r="L22" s="50">
        <f>IF(AND(H22&gt;=Year_Open_to_Traffic?, Calculations!H22&lt;Year_Open_to_Traffic?+'Inputs &amp; Outputs'!B$21), 1, 0)</f>
        <v>1</v>
      </c>
      <c r="M22" s="65">
        <f t="shared" si="11"/>
        <v>8.5586814105238496E-3</v>
      </c>
      <c r="N22" s="71">
        <f t="shared" si="12"/>
        <v>0.37782024042292289</v>
      </c>
      <c r="O22" s="72">
        <f t="shared" si="7"/>
        <v>1</v>
      </c>
      <c r="P22" s="68">
        <f t="shared" si="8"/>
        <v>12289.816122727294</v>
      </c>
      <c r="Q22" s="69">
        <f t="shared" si="0"/>
        <v>1</v>
      </c>
      <c r="R22" s="70">
        <f t="shared" si="1"/>
        <v>26.695349017934767</v>
      </c>
      <c r="S22" s="77">
        <f t="shared" si="2"/>
        <v>456.03249375980118</v>
      </c>
      <c r="T22" s="64">
        <f t="shared" si="9"/>
        <v>134.9235595736796</v>
      </c>
      <c r="W22" s="58"/>
    </row>
    <row r="23" spans="1:23">
      <c r="H23" s="14">
        <f t="shared" si="3"/>
        <v>2037</v>
      </c>
      <c r="I23" s="79">
        <f t="shared" si="10"/>
        <v>11086.762740175014</v>
      </c>
      <c r="J23" s="50">
        <f t="shared" si="4"/>
        <v>165266.67658020885</v>
      </c>
      <c r="K23" s="50">
        <f>IF(H23=Year_Open_to_Traffic?,Calculations!$E$4,K22+(K22*M23))</f>
        <v>152871.6758366932</v>
      </c>
      <c r="L23" s="50">
        <f>IF(AND(H23&gt;=Year_Open_to_Traffic?, Calculations!H23&lt;Year_Open_to_Traffic?+'Inputs &amp; Outputs'!B$21), 1, 0)</f>
        <v>1</v>
      </c>
      <c r="M23" s="65">
        <f t="shared" si="11"/>
        <v>8.5586814105238496E-3</v>
      </c>
      <c r="N23" s="71">
        <f t="shared" si="12"/>
        <v>0.38105388349115021</v>
      </c>
      <c r="O23" s="72">
        <f t="shared" si="7"/>
        <v>1</v>
      </c>
      <c r="P23" s="68">
        <f t="shared" si="8"/>
        <v>12395.000743515644</v>
      </c>
      <c r="Q23" s="69">
        <f t="shared" si="0"/>
        <v>1</v>
      </c>
      <c r="R23" s="70">
        <f t="shared" si="1"/>
        <v>27.309342045347261</v>
      </c>
      <c r="S23" s="77">
        <f t="shared" si="2"/>
        <v>470.51404779023329</v>
      </c>
      <c r="T23" s="64">
        <f t="shared" si="9"/>
        <v>130.10105501265988</v>
      </c>
      <c r="W23" s="58"/>
    </row>
    <row r="24" spans="1:23">
      <c r="H24" s="49">
        <f t="shared" si="3"/>
        <v>2038</v>
      </c>
      <c r="I24" s="79">
        <f t="shared" si="10"/>
        <v>11181.650810342238</v>
      </c>
      <c r="J24" s="50">
        <f t="shared" si="4"/>
        <v>166681.14141283493</v>
      </c>
      <c r="K24" s="50">
        <f>IF(H24=Year_Open_to_Traffic?,Calculations!$E$4,K23+(K23*M24))</f>
        <v>154180.05580687235</v>
      </c>
      <c r="L24" s="50">
        <f>IF(AND(H24&gt;=Year_Open_to_Traffic?, Calculations!H24&lt;Year_Open_to_Traffic?+'Inputs &amp; Outputs'!B$21), 1, 0)</f>
        <v>1</v>
      </c>
      <c r="M24" s="65">
        <f t="shared" si="11"/>
        <v>8.5586814105238496E-3</v>
      </c>
      <c r="N24" s="71">
        <f t="shared" si="12"/>
        <v>0.38431520228019384</v>
      </c>
      <c r="O24" s="72">
        <f t="shared" si="7"/>
        <v>1</v>
      </c>
      <c r="P24" s="68">
        <f>(J24-K24)*L24</f>
        <v>12501.08560596258</v>
      </c>
      <c r="Q24" s="69">
        <f t="shared" si="0"/>
        <v>1</v>
      </c>
      <c r="R24" s="70">
        <f t="shared" si="1"/>
        <v>27.93745691239025</v>
      </c>
      <c r="S24" s="77">
        <f t="shared" si="2"/>
        <v>485.45547125980727</v>
      </c>
      <c r="T24" s="64">
        <f t="shared" si="9"/>
        <v>125.45091879349609</v>
      </c>
      <c r="W24" s="58"/>
    </row>
    <row r="25" spans="1:23">
      <c r="H25" s="14">
        <f t="shared" si="3"/>
        <v>2039</v>
      </c>
      <c r="I25" s="79">
        <f t="shared" si="10"/>
        <v>11277.350997271684</v>
      </c>
      <c r="J25" s="50">
        <f t="shared" si="4"/>
        <v>168107.71219932986</v>
      </c>
      <c r="K25" s="50">
        <f>IF(H25=Year_Open_to_Traffic?,Calculations!$E$4,K24+(K24*M25))</f>
        <v>155499.63378438016</v>
      </c>
      <c r="L25" s="50">
        <f>IF(AND(H25&gt;=Year_Open_to_Traffic?, Calculations!H25&lt;Year_Open_to_Traffic?+'Inputs &amp; Outputs'!B$21), 1, 0)</f>
        <v>1</v>
      </c>
      <c r="M25" s="65">
        <f t="shared" si="11"/>
        <v>8.5586814105238496E-3</v>
      </c>
      <c r="N25" s="71">
        <f t="shared" si="12"/>
        <v>0.38760443365773106</v>
      </c>
      <c r="O25" s="72">
        <f t="shared" si="7"/>
        <v>1</v>
      </c>
      <c r="P25" s="68">
        <f t="shared" si="8"/>
        <v>12608.078414949705</v>
      </c>
      <c r="Q25" s="69">
        <f t="shared" si="0"/>
        <v>1</v>
      </c>
      <c r="R25" s="70">
        <f t="shared" si="1"/>
        <v>28.580018421375218</v>
      </c>
      <c r="S25" s="77">
        <f t="shared" si="2"/>
        <v>500.87136756679405</v>
      </c>
      <c r="T25" s="64">
        <f t="shared" si="9"/>
        <v>120.96699004170992</v>
      </c>
      <c r="W25" s="58"/>
    </row>
    <row r="26" spans="1:23">
      <c r="H26" s="49">
        <f t="shared" si="3"/>
        <v>2040</v>
      </c>
      <c r="I26" s="79">
        <f t="shared" si="10"/>
        <v>11373.870251611985</v>
      </c>
      <c r="J26" s="50">
        <f t="shared" si="4"/>
        <v>169546.49255069596</v>
      </c>
      <c r="K26" s="50">
        <f>IF(H26=Year_Open_to_Traffic?,Calculations!$E$4,K25+(K25*M26))</f>
        <v>156830.50560939379</v>
      </c>
      <c r="L26" s="50">
        <f>IF(AND(H26&gt;=Year_Open_to_Traffic?, Calculations!H26&lt;Year_Open_to_Traffic?+'Inputs &amp; Outputs'!B$21), 1, 0)</f>
        <v>1</v>
      </c>
      <c r="M26" s="65">
        <f t="shared" si="11"/>
        <v>8.5586814105238496E-3</v>
      </c>
      <c r="N26" s="71">
        <f t="shared" si="12"/>
        <v>0.3909218165187141</v>
      </c>
      <c r="O26" s="72">
        <f t="shared" si="7"/>
        <v>1</v>
      </c>
      <c r="P26" s="68">
        <f t="shared" si="8"/>
        <v>12715.986941302166</v>
      </c>
      <c r="Q26" s="69">
        <f t="shared" si="0"/>
        <v>1</v>
      </c>
      <c r="R26" s="70">
        <f t="shared" si="1"/>
        <v>29.237358845066851</v>
      </c>
      <c r="S26" s="77">
        <f t="shared" si="2"/>
        <v>516.77680384812925</v>
      </c>
      <c r="T26" s="64">
        <f t="shared" si="9"/>
        <v>116.64332808784329</v>
      </c>
      <c r="W26" s="58"/>
    </row>
    <row r="27" spans="1:23">
      <c r="H27" s="14">
        <f t="shared" si="3"/>
        <v>2041</v>
      </c>
      <c r="I27" s="79">
        <f t="shared" si="10"/>
        <v>11471.215583500167</v>
      </c>
      <c r="J27" s="50">
        <f t="shared" si="4"/>
        <v>170997.58696470913</v>
      </c>
      <c r="K27" s="50">
        <f>IF(H27=Year_Open_to_Traffic?,Calculations!$E$4,K26+(K26*M27))</f>
        <v>158172.76794235597</v>
      </c>
      <c r="L27" s="50">
        <f>IF(AND(H27&gt;=Year_Open_to_Traffic?, Calculations!H27&lt;Year_Open_to_Traffic?+'Inputs &amp; Outputs'!B$21), 1, 0)</f>
        <v>1</v>
      </c>
      <c r="M27" s="65">
        <f t="shared" si="11"/>
        <v>8.5586814105238496E-3</v>
      </c>
      <c r="N27" s="71">
        <f t="shared" si="12"/>
        <v>0.39426759180272103</v>
      </c>
      <c r="O27" s="72">
        <f t="shared" si="7"/>
        <v>1</v>
      </c>
      <c r="P27" s="68">
        <f t="shared" si="8"/>
        <v>12824.819022353156</v>
      </c>
      <c r="Q27" s="69">
        <f t="shared" si="0"/>
        <v>1</v>
      </c>
      <c r="R27" s="70">
        <f t="shared" si="1"/>
        <v>29.909818098503379</v>
      </c>
      <c r="S27" s="77">
        <f t="shared" si="2"/>
        <v>533.1873257056842</v>
      </c>
      <c r="T27" s="64">
        <f t="shared" si="9"/>
        <v>112.47420459678258</v>
      </c>
      <c r="W27" s="58"/>
    </row>
    <row r="28" spans="1:23">
      <c r="H28" s="49">
        <f t="shared" si="3"/>
        <v>2042</v>
      </c>
      <c r="I28" s="79">
        <f t="shared" si="10"/>
        <v>11569.39406307078</v>
      </c>
      <c r="J28" s="50">
        <f t="shared" si="4"/>
        <v>172461.10083350842</v>
      </c>
      <c r="K28" s="50">
        <f>IF(H28=Year_Open_to_Traffic?,Calculations!$E$4,K27+(K27*M28))</f>
        <v>159526.51827099532</v>
      </c>
      <c r="L28" s="50">
        <f>IF(AND(H28&gt;=Year_Open_to_Traffic?, Calculations!H28&lt;Year_Open_to_Traffic?+'Inputs &amp; Outputs'!B$21), 1, 0)</f>
        <v>1</v>
      </c>
      <c r="M28" s="65">
        <f t="shared" si="11"/>
        <v>8.5586814105238496E-3</v>
      </c>
      <c r="N28" s="71">
        <f t="shared" si="12"/>
        <v>0.39764200251145498</v>
      </c>
      <c r="O28" s="72">
        <f t="shared" si="7"/>
        <v>1</v>
      </c>
      <c r="P28" s="68">
        <f t="shared" si="8"/>
        <v>12934.582562513096</v>
      </c>
      <c r="Q28" s="69">
        <f t="shared" si="0"/>
        <v>1</v>
      </c>
      <c r="R28" s="70">
        <f t="shared" si="1"/>
        <v>30.597743914768959</v>
      </c>
      <c r="S28" s="77">
        <f t="shared" si="2"/>
        <v>550.11897240017436</v>
      </c>
      <c r="T28" s="64">
        <f t="shared" si="9"/>
        <v>108.45409597839956</v>
      </c>
      <c r="W28" s="58"/>
    </row>
    <row r="29" spans="1:23">
      <c r="H29" s="14">
        <f t="shared" si="3"/>
        <v>2043</v>
      </c>
      <c r="I29" s="79">
        <f t="shared" si="10"/>
        <v>11668.41282096941</v>
      </c>
      <c r="J29" s="50">
        <f t="shared" si="4"/>
        <v>173937.14045125066</v>
      </c>
      <c r="K29" s="50">
        <f>IF(H29=Year_Open_to_Traffic?,Calculations!$E$4,K28+(K28*M29))</f>
        <v>160891.85491740689</v>
      </c>
      <c r="L29" s="50">
        <f>IF(AND(H29&gt;=Year_Open_to_Traffic?, Calculations!H29&lt;Year_Open_to_Traffic?+'Inputs &amp; Outputs'!B$21), 1, 0)</f>
        <v>1</v>
      </c>
      <c r="M29" s="65">
        <f t="shared" si="11"/>
        <v>8.5586814105238496E-3</v>
      </c>
      <c r="N29" s="71">
        <f t="shared" si="12"/>
        <v>0.40104529372639325</v>
      </c>
      <c r="O29" s="72">
        <f t="shared" si="7"/>
        <v>1</v>
      </c>
      <c r="P29" s="68">
        <f t="shared" si="8"/>
        <v>13045.285533843766</v>
      </c>
      <c r="Q29" s="69">
        <f t="shared" si="0"/>
        <v>1</v>
      </c>
      <c r="R29" s="70">
        <f t="shared" si="1"/>
        <v>31.301492024808638</v>
      </c>
      <c r="S29" s="77">
        <f t="shared" si="2"/>
        <v>567.58829252755731</v>
      </c>
      <c r="T29" s="64">
        <f t="shared" si="9"/>
        <v>104.57767606945475</v>
      </c>
      <c r="W29" s="58"/>
    </row>
    <row r="30" spans="1:23">
      <c r="H30" s="14">
        <f t="shared" si="3"/>
        <v>2044</v>
      </c>
      <c r="I30" s="79">
        <f t="shared" si="10"/>
        <v>11768.27904887056</v>
      </c>
      <c r="J30" s="50">
        <f t="shared" si="4"/>
        <v>175425.81302183046</v>
      </c>
      <c r="K30" s="50">
        <f>IF(H30=Year_Open_to_Traffic?,Calculations!$E$4,K29+(K29*M30))</f>
        <v>162268.87704519319</v>
      </c>
      <c r="L30" s="50">
        <f>IF(AND(H30&gt;=Year_Open_to_Traffic?, Calculations!H30&lt;Year_Open_to_Traffic?+'Inputs &amp; Outputs'!B$21), 1, 0)</f>
        <v>0</v>
      </c>
      <c r="M30" s="65">
        <f t="shared" si="11"/>
        <v>8.5586814105238496E-3</v>
      </c>
      <c r="N30" s="71">
        <f t="shared" si="12"/>
        <v>0.40447771262658738</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11868.999999999985</v>
      </c>
      <c r="J31" s="50">
        <f t="shared" si="4"/>
        <v>176927.22666666642</v>
      </c>
      <c r="K31" s="50">
        <f>IF(H31=Year_Open_to_Traffic?,Calculations!$E$4,K30+(K30*M31))</f>
        <v>163657.68466666646</v>
      </c>
      <c r="L31" s="50">
        <f>IF(AND(H31&gt;=Year_Open_to_Traffic?, Calculations!H31&lt;Year_Open_to_Traffic?+'Inputs &amp; Outputs'!B$21), 1, 0)</f>
        <v>0</v>
      </c>
      <c r="M31" s="65">
        <f t="shared" si="11"/>
        <v>8.5586814105238496E-3</v>
      </c>
      <c r="N31" s="71">
        <f t="shared" si="12"/>
        <v>0.40793950850661576</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11970.582989661492</v>
      </c>
      <c r="J32" s="50">
        <f t="shared" si="4"/>
        <v>178441.49043255395</v>
      </c>
      <c r="K32" s="50">
        <f>IF(H32=Year_Open_to_Traffic?,Calculations!$E$4,K31+(K31*M32))</f>
        <v>165058.37865011243</v>
      </c>
      <c r="L32" s="50">
        <f>IF(AND(H32&gt;=Year_Open_to_Traffic?, Calculations!H32&lt;Year_Open_to_Traffic?+'Inputs &amp; Outputs'!B$21), 1, 0)</f>
        <v>0</v>
      </c>
      <c r="M32" s="65">
        <f t="shared" si="11"/>
        <v>8.5586814105238496E-3</v>
      </c>
      <c r="N32" s="71">
        <f t="shared" si="12"/>
        <v>0.41143093279468956</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12073.035395768242</v>
      </c>
      <c r="J33" s="50">
        <f t="shared" si="4"/>
        <v>179968.71429958523</v>
      </c>
      <c r="K33" s="50">
        <f>IF(H33=Year_Open_to_Traffic?,Calculations!$E$4,K32+(K32*M33))</f>
        <v>166471.06072711636</v>
      </c>
      <c r="L33" s="50">
        <f>IF(AND(H33&gt;=Year_Open_to_Traffic?, Calculations!H33&lt;Year_Open_to_Traffic?+'Inputs &amp; Outputs'!B$21), 1, 0)</f>
        <v>0</v>
      </c>
      <c r="M33" s="65">
        <f t="shared" si="11"/>
        <v>8.5586814105238496E-3</v>
      </c>
      <c r="N33" s="71">
        <f t="shared" si="12"/>
        <v>0.41495223907091394</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12176.3646593786</v>
      </c>
      <c r="J34" s="50">
        <f t="shared" si="4"/>
        <v>181509.00918913697</v>
      </c>
      <c r="K34" s="50">
        <f>IF(H34=Year_Open_to_Traffic?,Calculations!$E$4,K33+(K33*M34))</f>
        <v>167895.83349995172</v>
      </c>
      <c r="L34" s="50">
        <f>IF(AND(H34&gt;=Year_Open_to_Traffic?, Calculations!H34&lt;Year_Open_to_Traffic?+'Inputs &amp; Outputs'!B$21), 1, 0)</f>
        <v>0</v>
      </c>
      <c r="M34" s="65">
        <f t="shared" si="11"/>
        <v>8.5586814105238496E-3</v>
      </c>
      <c r="N34" s="71">
        <f t="shared" si="12"/>
        <v>0.4185036830857054</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12280.578285236583</v>
      </c>
      <c r="J35" s="50">
        <f t="shared" si="4"/>
        <v>183062.48697192664</v>
      </c>
      <c r="K35" s="50">
        <f>IF(H35=Year_Open_to_Traffic?,Calculations!$E$4,K34+(K34*M35))</f>
        <v>169332.80044903216</v>
      </c>
      <c r="L35" s="50">
        <f>IF(AND(H35&gt;=Year_Open_to_Traffic?, Calculations!H35&lt;Year_Open_to_Traffic?+'Inputs &amp; Outputs'!B$21), 1, 0)</f>
        <v>0</v>
      </c>
      <c r="M35" s="65">
        <f t="shared" si="11"/>
        <v>8.5586814105238496E-3</v>
      </c>
      <c r="N35" s="71">
        <f t="shared" si="12"/>
        <v>0.42208552277836681</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12385.683842316919</v>
      </c>
      <c r="J36" s="50">
        <f t="shared" si="4"/>
        <v>184629.26047613754</v>
      </c>
      <c r="K36" s="50">
        <f>IF(H36=Year_Open_to_Traffic?,Calculations!$E$4,K35+(K35*M36))</f>
        <v>170782.06594042724</v>
      </c>
      <c r="L36" s="50">
        <f>IF(AND(H36&gt;=Year_Open_to_Traffic?, Calculations!H36&lt;Year_Open_to_Traffic?+'Inputs &amp; Outputs'!B$21), 1, 0)</f>
        <v>0</v>
      </c>
      <c r="M36" s="65">
        <f t="shared" si="11"/>
        <v>8.5586814105238496E-3</v>
      </c>
      <c r="N36" s="71">
        <f t="shared" si="12"/>
        <v>0.42569801829582127</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3016.1730501943002</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topLeftCell="A6"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52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BCED0B-FEAD-472F-B93A-8EC9AFF034F1}"/>
</file>

<file path=customXml/itemProps2.xml><?xml version="1.0" encoding="utf-8"?>
<ds:datastoreItem xmlns:ds="http://schemas.openxmlformats.org/officeDocument/2006/customXml" ds:itemID="{98887EEB-E5A1-46A5-9B63-B5E9DE1ADA6F}"/>
</file>

<file path=customXml/itemProps3.xml><?xml version="1.0" encoding="utf-8"?>
<ds:datastoreItem xmlns:ds="http://schemas.openxmlformats.org/officeDocument/2006/customXml" ds:itemID="{CD84030A-F0E0-4CD1-9D57-0E112E1AC80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