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4_US90/"/>
    </mc:Choice>
  </mc:AlternateContent>
  <xr:revisionPtr revIDLastSave="16" documentId="8_{0A2F86F6-B134-464C-8E4B-27A6B6A2E256}" xr6:coauthVersionLast="40" xr6:coauthVersionMax="40" xr10:uidLastSave="{8102154B-6893-41CF-AD20-45FA45A68CE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18" i="12"/>
  <c r="E26" i="12"/>
  <c r="E20" i="12"/>
  <c r="G26" i="12"/>
  <c r="E21" i="12"/>
  <c r="H26" i="12"/>
  <c r="E17" i="12"/>
  <c r="D26" i="12"/>
  <c r="E22" i="12"/>
  <c r="I26" i="12"/>
  <c r="S36" i="12"/>
  <c r="P36" i="12"/>
  <c r="Q36" i="12"/>
  <c r="H31" i="12"/>
  <c r="H32" i="12"/>
  <c r="H30" i="12"/>
  <c r="H27" i="12"/>
  <c r="H28" i="12"/>
  <c r="H29" i="12"/>
  <c r="H33" i="12"/>
  <c r="D27" i="12"/>
  <c r="E27" i="12"/>
  <c r="F27" i="12"/>
  <c r="G27" i="12"/>
  <c r="I27" i="12"/>
  <c r="J27" i="12"/>
  <c r="D28" i="12"/>
  <c r="E28" i="12"/>
  <c r="F28" i="12"/>
  <c r="G28" i="12"/>
  <c r="I28" i="12"/>
  <c r="J28" i="12"/>
  <c r="D29" i="12"/>
  <c r="E29" i="12"/>
  <c r="F29" i="12"/>
  <c r="G29" i="12"/>
  <c r="I29" i="12"/>
  <c r="J29" i="12"/>
  <c r="D30" i="12"/>
  <c r="E30" i="12"/>
  <c r="F30" i="12"/>
  <c r="G30" i="12"/>
  <c r="I30" i="12"/>
  <c r="J30" i="12"/>
  <c r="D31" i="12"/>
  <c r="E31" i="12"/>
  <c r="F31" i="12"/>
  <c r="G31" i="12"/>
  <c r="I31" i="12"/>
  <c r="J31" i="12"/>
  <c r="D32" i="12"/>
  <c r="E32" i="12"/>
  <c r="F32" i="12"/>
  <c r="G32" i="12"/>
  <c r="I32" i="12"/>
  <c r="J32" i="12"/>
  <c r="D33" i="12"/>
  <c r="E33" i="12"/>
  <c r="F33" i="12"/>
  <c r="G33" i="12"/>
  <c r="I33" i="12"/>
  <c r="J33"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<sst xmlns="http://schemas.openxmlformats.org/spreadsheetml/2006/main" count="441" uniqueCount="286">
  <si>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</si>
  <si>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</si>
  <si>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</si>
  <si>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</si>
  <si>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</si>
  <si>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</si>
  <si>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</si>
  <si>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</si>
  <si>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</si>
  <si>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</si>
  <si>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</si>
  <si>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</si>
  <si>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</si>
  <si>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</si>
  <si>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</si>
  <si>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</si>
  <si>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</si>
  <si>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</si>
  <si>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</si>
  <si>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</si>
  <si>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</si>
  <si>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</si>
  <si>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</si>
  <si>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</si>
  <si>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</si>
  <si>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</si>
  <si>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</si>
  <si>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</si>
  <si>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</si>
  <si>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</si>
  <si>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</si>
  <si>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</si>
  <si>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</si>
  <si>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</si>
  <si>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</si>
  <si>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</si>
  <si>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</si>
  <si>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</si>
  <si>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</si>
  <si>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</si>
  <si>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</si>
  <si>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</si>
  <si>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</si>
  <si>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</si>
  <si>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</si>
  <si>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</si>
  <si>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</si>
  <si>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</si>
  <si>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US 90 UPRR Overpass</t>
  </si>
  <si>
    <t>County</t>
  </si>
  <si>
    <t>Liberty</t>
  </si>
  <si>
    <t>Data entered by the sponsors</t>
  </si>
  <si>
    <t>Facility Type</t>
  </si>
  <si>
    <t>Non-Freeway</t>
  </si>
  <si>
    <t>HGAC regional travel demand model data provided by HGAC upon request</t>
  </si>
  <si>
    <t>Street Name:</t>
  </si>
  <si>
    <t>US 90</t>
  </si>
  <si>
    <t>Populated based on selection in cell "C18"</t>
  </si>
  <si>
    <t>Limits (From)</t>
  </si>
  <si>
    <t>At UP Railroad</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</si>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</sst>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0.99</v>
      </c>
      <c r="D12" s="79"/>
      <c r="N12" s="134"/>
      <c r="O12" s="134"/>
      <c r="P12" s="134"/>
      <c r="Q12" s="134"/>
      <c r="R12" s="134"/>
      <c r="S12" s="134"/>
    </row>
    <row r="13" spans="2:19">
      <c r="B13" s="3" t="s">
        <v>64</v>
      </c>
      <c r="C13" s="97">
        <v>252</v>
      </c>
      <c r="D13" s="53"/>
    </row>
    <row r="14" spans="2:19">
      <c r="B14" s="3" t="s">
        <v>65</v>
      </c>
      <c r="C14" s="97" t="s">
        <v>66</v>
      </c>
      <c r="D14" s="53"/>
      <c r="G14" s="90"/>
    </row>
    <row r="15" spans="2:19">
      <c r="C15" s="53"/>
      <c r="D15" s="53"/>
    </row>
    <row r="16" spans="2:19">
      <c r="B16" s="5" t="s">
        <v>67</v>
      </c>
    </row>
    <row r="17" spans="2:13">
      <c r="B17" s="3" t="s">
        <v>68</v>
      </c>
      <c r="C17" s="97">
        <v>2024</v>
      </c>
      <c r="D17" s="80"/>
    </row>
    <row r="18" spans="2:13">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24125</v>
      </c>
      <c r="D25" s="82"/>
      <c r="I25" s="41"/>
    </row>
    <row r="26" spans="2:13">
      <c r="I26" s="41"/>
    </row>
    <row r="27" spans="2:13">
      <c r="B27" s="73" t="s">
        <v>76</v>
      </c>
      <c r="C27" s="74">
        <v>12066</v>
      </c>
      <c r="D27" s="82"/>
      <c r="I27" s="41"/>
    </row>
    <row r="28" spans="2:13">
      <c r="B28" s="73" t="s">
        <v>77</v>
      </c>
      <c r="C28" s="74">
        <v>22483</v>
      </c>
      <c r="D28" s="82"/>
      <c r="I28" s="41"/>
    </row>
    <row r="29" spans="2:13">
      <c r="B29" s="73" t="s">
        <v>78</v>
      </c>
      <c r="C29" s="75">
        <v>13544</v>
      </c>
      <c r="D29" s="58"/>
      <c r="I29" s="41"/>
    </row>
    <row r="30" spans="2:13">
      <c r="B30" s="73" t="s">
        <v>79</v>
      </c>
      <c r="C30" s="75">
        <v>22483</v>
      </c>
      <c r="D30" s="58"/>
      <c r="I30" s="41"/>
    </row>
    <row r="31" spans="2:13">
      <c r="B31" s="73" t="s">
        <v>80</v>
      </c>
      <c r="C31" s="74">
        <v>20272</v>
      </c>
      <c r="D31" s="82"/>
      <c r="H31" s="59"/>
    </row>
    <row r="32" spans="2:13">
      <c r="B32" s="73" t="s">
        <v>81</v>
      </c>
      <c r="C32" s="74">
        <v>22483</v>
      </c>
      <c r="D32" s="82"/>
    </row>
    <row r="34" spans="2:9" ht="18.75">
      <c r="B34" s="43" t="s">
        <v>82</v>
      </c>
      <c r="C34" s="44"/>
      <c r="D34" s="44"/>
      <c r="E34" s="44"/>
      <c r="F34" s="44"/>
      <c r="I34" s="59"/>
    </row>
    <row r="36" spans="2:9">
      <c r="B36" s="9" t="s">
        <v>83</v>
      </c>
    </row>
    <row r="37" spans="2:9">
      <c r="B37" s="8" t="s">
        <v>84</v>
      </c>
      <c r="C37" s="34">
        <f>Calculations!U37</f>
        <v>37747.243841928961</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75">
      <c r="A4" s="13" t="s">
        <v>20</v>
      </c>
      <c r="B4" s="39">
        <v>2018</v>
      </c>
      <c r="D4" s="104" t="s">
        <v>94</v>
      </c>
      <c r="E4" s="105">
        <f>VLOOKUP(Year_Open_to_Traffic?,Calculations!M4:N36,2,Calculations!N4:N36)</f>
        <v>26636.78816979855</v>
      </c>
      <c r="G4" s="137" t="s">
        <v>95</v>
      </c>
      <c r="H4" s="137"/>
      <c r="I4" s="137"/>
      <c r="J4" s="137"/>
      <c r="L4" s="106"/>
      <c r="M4" s="107">
        <v>2018</v>
      </c>
      <c r="N4" s="108">
        <f>_2018_Volume_ADT</f>
        <v>24125</v>
      </c>
      <c r="O4" s="109" t="s">
        <v>96</v>
      </c>
      <c r="P4" s="110">
        <f>MIN(B12,1)</f>
        <v>0.53667215229284349</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30</v>
      </c>
      <c r="D5" s="104" t="s">
        <v>98</v>
      </c>
      <c r="E5" s="105">
        <f>$E$4*'Inputs &amp; Outputs'!$C$12</f>
        <v>26370.420288100566</v>
      </c>
      <c r="G5" s="138" t="s">
        <v>99</v>
      </c>
      <c r="H5" s="138"/>
      <c r="I5" s="138"/>
      <c r="J5" s="111">
        <f>SUMPRODUCT(Possible_Crash_Reductions,'Value of Statistical Life'!E5:E11)</f>
        <v>3648669.2484155395</v>
      </c>
      <c r="L5" s="106"/>
      <c r="M5" s="11">
        <f t="shared" ref="M5:M36" si="1">M4+1</f>
        <v>2019</v>
      </c>
      <c r="N5" s="112">
        <f>N4+(N4*O5)</f>
        <v>24526.547076080744</v>
      </c>
      <c r="O5" s="113">
        <f t="shared" ref="O5:O11" si="2">IF(ISERROR(_2025_2045_Demand_Growth),_2018_2045_Demand_Growth,_2018_2025_Demand_Growth)</f>
        <v>1.6644438386766547E-2</v>
      </c>
      <c r="P5" s="114">
        <f t="shared" ref="P5:P11" si="3">P4*(1+IFERROR(_2018_2025_V_C_Growth,_2018_2045_V_C_Growth))</f>
        <v>0.54560475886557513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6856309.2749061473</v>
      </c>
      <c r="L6" s="106"/>
      <c r="M6" s="107">
        <f t="shared" si="1"/>
        <v>2020</v>
      </c>
      <c r="N6" s="112">
        <f t="shared" ref="N6:N36" si="6">N5+(N5*O6)</f>
        <v>24934.7776777287</v>
      </c>
      <c r="O6" s="113">
        <f t="shared" si="2"/>
        <v>1.6644438386766547E-2</v>
      </c>
      <c r="P6" s="114">
        <f t="shared" si="3"/>
        <v>0.55468604365803986</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25349.803048473375</v>
      </c>
      <c r="O7" s="113">
        <f t="shared" si="2"/>
        <v>1.6644438386766547E-2</v>
      </c>
      <c r="P7" s="114">
        <f t="shared" si="3"/>
        <v>0.56391848133570543</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25771.736283430357</v>
      </c>
      <c r="O8" s="113">
        <f t="shared" si="2"/>
        <v>1.6644438386766547E-2</v>
      </c>
      <c r="P8" s="114">
        <f t="shared" si="3"/>
        <v>0.5733045877534565</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1.6644438386766547E-2</v>
      </c>
      <c r="D9" s="39" t="s">
        <v>104</v>
      </c>
      <c r="E9" s="119">
        <f>IF('Inputs &amp; Outputs'!$C$8='CRASH RATES'!$D$3, VLOOKUP('Inputs &amp; Outputs'!$C$7,'CRASH RATES'!$C$14:$J$21,3,FALSE), VLOOKUP('Inputs &amp; Outputs'!$C$7,'CRASH RATES'!$C$28:$J$35,3,FALSE))</f>
        <v>5.3130646924395055</v>
      </c>
      <c r="F9" s="85"/>
      <c r="L9" s="106"/>
      <c r="M9" s="11">
        <f t="shared" si="1"/>
        <v>2023</v>
      </c>
      <c r="N9" s="112">
        <f t="shared" si="6"/>
        <v>26200.692360119909</v>
      </c>
      <c r="O9" s="113">
        <f t="shared" si="2"/>
        <v>1.6644438386766547E-2</v>
      </c>
      <c r="P9" s="114">
        <f t="shared" si="3"/>
        <v>0.5828469206411695</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2.0369532996425965E-2</v>
      </c>
      <c r="D10" s="39" t="s">
        <v>106</v>
      </c>
      <c r="E10" s="119">
        <f>IF('Inputs &amp; Outputs'!$C$8='CRASH RATES'!$D$3, VLOOKUP('Inputs &amp; Outputs'!$C$7,'CRASH RATES'!$C$14:$J$21,4,FALSE), VLOOKUP('Inputs &amp; Outputs'!$C$7,'CRASH RATES'!$C$28:$J$35,4,FALSE))</f>
        <v>9.8447963418732023</v>
      </c>
      <c r="F10" s="85"/>
      <c r="L10" s="106"/>
      <c r="M10" s="107">
        <f t="shared" si="1"/>
        <v>2024</v>
      </c>
      <c r="N10" s="112">
        <f t="shared" si="6"/>
        <v>26636.78816979855</v>
      </c>
      <c r="O10" s="113">
        <f t="shared" si="2"/>
        <v>1.6644438386766547E-2</v>
      </c>
      <c r="P10" s="114">
        <f t="shared" si="3"/>
        <v>0.59254808030069805</v>
      </c>
      <c r="Q10" s="115">
        <f t="shared" si="4"/>
        <v>1</v>
      </c>
      <c r="R10" s="30">
        <f>IF(M10=Year_Open_to_Traffic?,Calculations!$J$5,Calculations!R9+(Calculations!R9*Calculations!O10*Q10))</f>
        <v>3648669.2484155395</v>
      </c>
      <c r="S10" s="45">
        <f t="shared" si="0"/>
        <v>1</v>
      </c>
      <c r="T10" s="30">
        <f t="shared" si="5"/>
        <v>3648.6692484155396</v>
      </c>
      <c r="U10" s="31">
        <f>T10/(1+Real_Discount_Rate)^(Calculations!M10-'Assumed Values'!$C$5)</f>
        <v>2431.2623809601341</v>
      </c>
    </row>
    <row r="11" spans="1:21" ht="15.75">
      <c r="A11" s="39" t="s">
        <v>107</v>
      </c>
      <c r="B11" s="118">
        <f>(_2045_Peak_Period_Volume/'Inputs &amp; Outputs'!$C$27)^(1/(2045-2018))-1</f>
        <v>1.9402459121124593E-2</v>
      </c>
      <c r="D11" s="39" t="s">
        <v>108</v>
      </c>
      <c r="E11" s="119">
        <f>IF('Inputs &amp; Outputs'!$C$8='CRASH RATES'!$D$3, VLOOKUP('Inputs &amp; Outputs'!$C$7,'CRASH RATES'!$C$14:$J$21,5,FALSE), VLOOKUP('Inputs &amp; Outputs'!$C$7,'CRASH RATES'!$C$28:$J$35,5,FALSE))</f>
        <v>24.065057724578939</v>
      </c>
      <c r="F11" s="85"/>
      <c r="L11" s="106"/>
      <c r="M11" s="11">
        <f t="shared" si="1"/>
        <v>2025</v>
      </c>
      <c r="N11" s="112">
        <f t="shared" si="6"/>
        <v>27080.142549312113</v>
      </c>
      <c r="O11" s="113">
        <f t="shared" si="2"/>
        <v>1.6644438386766547E-2</v>
      </c>
      <c r="P11" s="114">
        <f t="shared" si="3"/>
        <v>0.60241071031445981</v>
      </c>
      <c r="Q11" s="115">
        <f t="shared" si="4"/>
        <v>1</v>
      </c>
      <c r="R11" s="30">
        <f>IF(M11=Year_Open_to_Traffic?,Calculations!$J$5,Calculations!R10+(Calculations!R10*Calculations!O11*Q11))</f>
        <v>3709399.2989144819</v>
      </c>
      <c r="S11" s="45">
        <f t="shared" si="0"/>
        <v>1</v>
      </c>
      <c r="T11" s="30">
        <f t="shared" si="5"/>
        <v>3709.3992989144817</v>
      </c>
      <c r="U11" s="31">
        <f>T11/(1+Real_Discount_Rate)^(Calculations!M11-'Assumed Values'!$C$5)</f>
        <v>2310.0274559458767</v>
      </c>
    </row>
    <row r="12" spans="1:21" ht="15.75">
      <c r="A12" s="39" t="s">
        <v>109</v>
      </c>
      <c r="B12" s="120">
        <f>'Inputs &amp; Outputs'!C27/_2018_Peak_Period_Capacity</f>
        <v>0.53667215229284349</v>
      </c>
      <c r="D12" s="39" t="s">
        <v>110</v>
      </c>
      <c r="E12" s="119">
        <f>IF('Inputs &amp; Outputs'!$C$8='CRASH RATES'!$D$3, VLOOKUP('Inputs &amp; Outputs'!$C$7,'CRASH RATES'!$C$14:$J$21,6,FALSE), VLOOKUP('Inputs &amp; Outputs'!$C$7,'CRASH RATES'!$C$28:$J$35,6,FALSE))</f>
        <v>52.349313881389243</v>
      </c>
      <c r="F12" s="85"/>
      <c r="L12" s="106"/>
      <c r="M12" s="107">
        <f t="shared" si="1"/>
        <v>2026</v>
      </c>
      <c r="N12" s="112">
        <f t="shared" si="6"/>
        <v>27631.752406518244</v>
      </c>
      <c r="O12" s="113">
        <f t="shared" ref="O12:O36" si="7">IFERROR(_2025_2045_Demand_Growth,_2018_2045_Demand_Growth)</f>
        <v>2.0369532996425965E-2</v>
      </c>
      <c r="P12" s="114">
        <f t="shared" ref="P12:P36" si="8">P11*(1+IFERROR(_2025_2040_V_C_Growth,_2018_2045_V_C_Growth))</f>
        <v>0.61468153515561064</v>
      </c>
      <c r="Q12" s="115">
        <f t="shared" si="4"/>
        <v>1</v>
      </c>
      <c r="R12" s="30">
        <f>IF(M12=Year_Open_to_Traffic?,Calculations!$J$5,Calculations!R11+(Calculations!R11*Calculations!O12*Q12))</f>
        <v>3784958.0303306398</v>
      </c>
      <c r="S12" s="45">
        <f t="shared" si="0"/>
        <v>1</v>
      </c>
      <c r="T12" s="30">
        <f t="shared" si="5"/>
        <v>3784.9580303306398</v>
      </c>
      <c r="U12" s="31">
        <f>T12/(1+Real_Discount_Rate)^(Calculations!M12-'Assumed Values'!$C$5)</f>
        <v>2202.8800340489875</v>
      </c>
    </row>
    <row r="13" spans="1:21" ht="15.75">
      <c r="A13" s="39" t="s">
        <v>111</v>
      </c>
      <c r="B13" s="120">
        <f>_2025_Peak_Period_Volume/_2025_Peak_Period_Capacity</f>
        <v>0.60241071031445981</v>
      </c>
      <c r="D13" s="39" t="s">
        <v>112</v>
      </c>
      <c r="E13" s="119">
        <f>IF('Inputs &amp; Outputs'!$C$8='CRASH RATES'!$D$3, VLOOKUP('Inputs &amp; Outputs'!$C$7,'CRASH RATES'!$C$14:$J$21,7,FALSE), VLOOKUP('Inputs &amp; Outputs'!$C$7,'CRASH RATES'!$C$28:$J$35,7,FALSE))</f>
        <v>389.41638863409548</v>
      </c>
      <c r="F13" s="85"/>
      <c r="L13" s="106"/>
      <c r="M13" s="11">
        <f t="shared" si="1"/>
        <v>2027</v>
      </c>
      <c r="N13" s="112">
        <f t="shared" si="6"/>
        <v>28194.598298911889</v>
      </c>
      <c r="O13" s="113">
        <f t="shared" si="7"/>
        <v>2.0369532996425965E-2</v>
      </c>
      <c r="P13" s="114">
        <f t="shared" si="8"/>
        <v>0.62720231096825663</v>
      </c>
      <c r="Q13" s="115">
        <f t="shared" si="4"/>
        <v>1</v>
      </c>
      <c r="R13" s="30">
        <f>IF(M13=Year_Open_to_Traffic?,Calculations!$J$5,Calculations!R12+(Calculations!R12*Calculations!O13*Q13))</f>
        <v>3862055.8578195474</v>
      </c>
      <c r="S13" s="45">
        <f t="shared" si="0"/>
        <v>1</v>
      </c>
      <c r="T13" s="30">
        <f t="shared" si="5"/>
        <v>3862.0558578195473</v>
      </c>
      <c r="U13" s="31">
        <f>T13/(1+Real_Discount_Rate)^(Calculations!M13-'Assumed Values'!$C$5)</f>
        <v>2100.7024968128185</v>
      </c>
    </row>
    <row r="14" spans="1:21" ht="15.75">
      <c r="A14" s="39" t="s">
        <v>113</v>
      </c>
      <c r="B14" s="120">
        <f>_2045_Peak_Period_Volume/_2045_Peak_Period_Capacity</f>
        <v>0.90165903126806923</v>
      </c>
      <c r="D14" s="39" t="s">
        <v>114</v>
      </c>
      <c r="E14" s="119">
        <f>IF('Inputs &amp; Outputs'!$C$8='CRASH RATES'!$D$3, VLOOKUP('Inputs &amp; Outputs'!$C$7,'CRASH RATES'!$C$14:$J$21,8,FALSE), VLOOKUP('Inputs &amp; Outputs'!$C$7,'CRASH RATES'!$C$28:$J$35,8,FALSE))</f>
        <v>13.126395122497602</v>
      </c>
      <c r="F14" s="85"/>
      <c r="L14" s="106"/>
      <c r="M14" s="107">
        <f>M13+1</f>
        <v>2028</v>
      </c>
      <c r="N14" s="112">
        <f t="shared" si="6"/>
        <v>28768.909099282551</v>
      </c>
      <c r="O14" s="113">
        <f t="shared" si="7"/>
        <v>2.0369532996425965E-2</v>
      </c>
      <c r="P14" s="114">
        <f>P13*(1+IFERROR(_2025_2040_V_C_Growth,_2018_2045_V_C_Growth))</f>
        <v>0.63997812913695917</v>
      </c>
      <c r="Q14" s="115">
        <f t="shared" si="4"/>
        <v>1</v>
      </c>
      <c r="R14" s="30">
        <f>IF(M14=Year_Open_to_Traffic?,Calculations!$J$5,Calculations!R13+(Calculations!R13*Calculations!O14*Q14))</f>
        <v>3940724.1320494427</v>
      </c>
      <c r="S14" s="45">
        <f t="shared" si="0"/>
        <v>1</v>
      </c>
      <c r="T14" s="30">
        <f t="shared" si="5"/>
        <v>3940.7241320494427</v>
      </c>
      <c r="U14" s="31">
        <f>T14/(1+Real_Discount_Rate)^(Calculations!M14-'Assumed Values'!$C$5)</f>
        <v>2003.2643230255344</v>
      </c>
    </row>
    <row r="15" spans="1:21" ht="15.75">
      <c r="A15" s="39" t="s">
        <v>115</v>
      </c>
      <c r="B15" s="118">
        <f>(B13/B12)^(1/(2025-2018))-1</f>
        <v>1.6644438386766547E-2</v>
      </c>
      <c r="L15" s="106"/>
      <c r="M15" s="11">
        <f>M14+1</f>
        <v>2029</v>
      </c>
      <c r="N15" s="112">
        <f t="shared" si="6"/>
        <v>29354.918342451565</v>
      </c>
      <c r="O15" s="113">
        <f t="shared" si="7"/>
        <v>2.0369532996425965E-2</v>
      </c>
      <c r="P15" s="114">
        <f>P14*(1+IFERROR(_2025_2040_V_C_Growth,_2018_2045_V_C_Growth))</f>
        <v>0.6530141847554054</v>
      </c>
      <c r="Q15" s="115">
        <f t="shared" si="4"/>
        <v>1</v>
      </c>
      <c r="R15" s="30">
        <f>IF(M15=Year_Open_to_Traffic?,Calculations!$J$5,Calculations!R14+(Calculations!R14*Calculations!O15*Q15))</f>
        <v>4020994.8422870361</v>
      </c>
      <c r="S15" s="45">
        <f t="shared" si="0"/>
        <v>1</v>
      </c>
      <c r="T15" s="30">
        <f t="shared" si="5"/>
        <v>4020.9948422870361</v>
      </c>
      <c r="U15" s="31">
        <f>T15/(1+Real_Discount_Rate)^(Calculations!M15-'Assumed Values'!$C$5)</f>
        <v>1910.345683882211</v>
      </c>
    </row>
    <row r="16" spans="1:21" ht="15.75">
      <c r="A16" s="39" t="s">
        <v>116</v>
      </c>
      <c r="B16" s="118">
        <f>(B14/B13)^(1/(2045-2025))-1</f>
        <v>2.0369532996425965E-2</v>
      </c>
      <c r="D16" s="121" t="s">
        <v>117</v>
      </c>
      <c r="E16" s="57"/>
      <c r="L16" s="106"/>
      <c r="M16" s="107">
        <f t="shared" si="1"/>
        <v>2030</v>
      </c>
      <c r="N16" s="112">
        <f t="shared" si="6"/>
        <v>29952.864320235523</v>
      </c>
      <c r="O16" s="113">
        <f t="shared" si="7"/>
        <v>2.0369532996425965E-2</v>
      </c>
      <c r="P16" s="114">
        <f t="shared" si="8"/>
        <v>0.66631577873891479</v>
      </c>
      <c r="Q16" s="115">
        <f t="shared" si="4"/>
        <v>1</v>
      </c>
      <c r="R16" s="30">
        <f>IF(M16=Year_Open_to_Traffic?,Calculations!$J$5,Calculations!R15+(Calculations!R15*Calculations!O16*Q16))</f>
        <v>4102900.6294054603</v>
      </c>
      <c r="S16" s="45">
        <f t="shared" si="0"/>
        <v>1</v>
      </c>
      <c r="T16" s="30">
        <f t="shared" si="5"/>
        <v>4102.9006294054607</v>
      </c>
      <c r="U16" s="31">
        <f>T16/(1+Real_Discount_Rate)^(Calculations!M16-'Assumed Values'!$C$5)</f>
        <v>1821.7369470323645</v>
      </c>
    </row>
    <row r="17" spans="1:21" ht="15.75">
      <c r="A17" s="39" t="s">
        <v>118</v>
      </c>
      <c r="B17" s="118">
        <f>(B14/B12)^(1/(2045-2018))-1</f>
        <v>1.9402459121124593E-2</v>
      </c>
      <c r="D17" s="39" t="s">
        <v>119</v>
      </c>
      <c r="E17" s="122">
        <f>($E$6*Death_Rate)/100000000</f>
        <v>0.36428014728949359</v>
      </c>
      <c r="L17" s="106"/>
      <c r="M17" s="11">
        <f t="shared" si="1"/>
        <v>2031</v>
      </c>
      <c r="N17" s="112">
        <f t="shared" si="6"/>
        <v>30562.990178344029</v>
      </c>
      <c r="O17" s="113">
        <f t="shared" si="7"/>
        <v>2.0369532996425965E-2</v>
      </c>
      <c r="P17" s="114">
        <f t="shared" si="8"/>
        <v>0.67988831997997634</v>
      </c>
      <c r="Q17" s="115">
        <f t="shared" si="4"/>
        <v>1</v>
      </c>
      <c r="R17" s="30">
        <f>IF(M17=Year_Open_to_Traffic?,Calculations!$J$5,Calculations!R16+(Calculations!R16*Calculations!O17*Q17))</f>
        <v>4186474.7991571915</v>
      </c>
      <c r="S17" s="45">
        <f t="shared" si="0"/>
        <v>1</v>
      </c>
      <c r="T17" s="30">
        <f t="shared" si="5"/>
        <v>4186.4747991571912</v>
      </c>
      <c r="U17" s="31">
        <f>T17/(1+Real_Discount_Rate)^(Calculations!M17-'Assumed Values'!$C$5)</f>
        <v>1737.2382036315403</v>
      </c>
    </row>
    <row r="18" spans="1:21" ht="15.75">
      <c r="D18" s="39" t="s">
        <v>120</v>
      </c>
      <c r="E18" s="122">
        <f>($E$6*Incap_Injry_Rate)/100000000</f>
        <v>0.67498968468347342</v>
      </c>
      <c r="L18" s="106"/>
      <c r="M18" s="107">
        <f t="shared" si="1"/>
        <v>2032</v>
      </c>
      <c r="N18" s="112">
        <f t="shared" si="6"/>
        <v>31185.544015251249</v>
      </c>
      <c r="O18" s="113">
        <f t="shared" si="7"/>
        <v>2.0369532996425965E-2</v>
      </c>
      <c r="P18" s="114">
        <f t="shared" si="8"/>
        <v>0.69373732754769313</v>
      </c>
      <c r="Q18" s="115">
        <f t="shared" si="4"/>
        <v>1</v>
      </c>
      <c r="R18" s="30">
        <f>IF(M18=Year_Open_to_Traffic?,Calculations!$J$5,Calculations!R17+(Calculations!R17*Calculations!O18*Q18))</f>
        <v>4271751.3357173298</v>
      </c>
      <c r="S18" s="45">
        <f t="shared" si="0"/>
        <v>1</v>
      </c>
      <c r="T18" s="30">
        <f t="shared" si="5"/>
        <v>4271.7513357173293</v>
      </c>
      <c r="U18" s="31">
        <f>T18/(1+Real_Discount_Rate)^(Calculations!M18-'Assumed Values'!$C$5)</f>
        <v>1656.6588173299672</v>
      </c>
    </row>
    <row r="19" spans="1:21" ht="15.75">
      <c r="D19" s="39" t="s">
        <v>121</v>
      </c>
      <c r="E19" s="122">
        <f>($E$6*Nonincap_Injry_Rate)/100000000</f>
        <v>1.649974784781824</v>
      </c>
      <c r="L19" s="106"/>
      <c r="M19" s="11">
        <f t="shared" si="1"/>
        <v>2033</v>
      </c>
      <c r="N19" s="112">
        <f t="shared" si="6"/>
        <v>31820.778983081404</v>
      </c>
      <c r="O19" s="113">
        <f t="shared" si="7"/>
        <v>2.0369532996425965E-2</v>
      </c>
      <c r="P19" s="114">
        <f t="shared" si="8"/>
        <v>0.70786843293202828</v>
      </c>
      <c r="Q19" s="115">
        <f t="shared" si="4"/>
        <v>1</v>
      </c>
      <c r="R19" s="30">
        <f>IF(M19=Year_Open_to_Traffic?,Calculations!$J$5,Calculations!R18+(Calculations!R18*Calculations!O19*Q19))</f>
        <v>4358764.9155027503</v>
      </c>
      <c r="S19" s="45">
        <f t="shared" si="0"/>
        <v>1</v>
      </c>
      <c r="T19" s="30">
        <f t="shared" si="5"/>
        <v>4358.7649155027502</v>
      </c>
      <c r="U19" s="31">
        <f>T19/(1+Real_Discount_Rate)^(Calculations!M19-'Assumed Values'!$C$5)</f>
        <v>1579.816994180738</v>
      </c>
    </row>
    <row r="20" spans="1:21" ht="15.75">
      <c r="D20" s="39" t="s">
        <v>122</v>
      </c>
      <c r="E20" s="122">
        <f>($E$6*Poss_Injry_Rate/100000000)</f>
        <v>3.5892308629994218</v>
      </c>
      <c r="L20" s="106"/>
      <c r="M20" s="107">
        <f t="shared" si="1"/>
        <v>2034</v>
      </c>
      <c r="N20" s="112">
        <f t="shared" si="6"/>
        <v>32468.953390549257</v>
      </c>
      <c r="O20" s="113">
        <f t="shared" si="7"/>
        <v>2.0369532996425965E-2</v>
      </c>
      <c r="P20" s="114">
        <f t="shared" si="8"/>
        <v>0.72228738233376555</v>
      </c>
      <c r="Q20" s="115">
        <f t="shared" si="4"/>
        <v>1</v>
      </c>
      <c r="R20" s="30">
        <f>IF(M20=Year_Open_to_Traffic?,Calculations!$J$5,Calculations!R19+(Calculations!R19*Calculations!O20*Q20))</f>
        <v>4447550.9212727472</v>
      </c>
      <c r="S20" s="45">
        <f t="shared" si="0"/>
        <v>1</v>
      </c>
      <c r="T20" s="30">
        <f t="shared" si="5"/>
        <v>4447.5509212727475</v>
      </c>
      <c r="U20" s="31">
        <f>T20/(1+Real_Discount_Rate)^(Calculations!M20-'Assumed Values'!$C$5)</f>
        <v>1506.5393724972125</v>
      </c>
    </row>
    <row r="21" spans="1:21" ht="15.75">
      <c r="D21" s="39" t="s">
        <v>123</v>
      </c>
      <c r="E21" s="122">
        <f>($E$6*Non_Injry_Rate)/100000000</f>
        <v>26.699591971924058</v>
      </c>
      <c r="L21" s="106"/>
      <c r="M21" s="11">
        <f>M20+1</f>
        <v>2035</v>
      </c>
      <c r="N21" s="112">
        <f t="shared" si="6"/>
        <v>33130.330807997467</v>
      </c>
      <c r="O21" s="113">
        <f t="shared" si="7"/>
        <v>2.0369532996425965E-2</v>
      </c>
      <c r="P21" s="114">
        <f>P20*(1+IFERROR(_2025_2040_V_C_Growth,_2018_2045_V_C_Growth))</f>
        <v>0.73700003900111533</v>
      </c>
      <c r="Q21" s="115">
        <f t="shared" si="4"/>
        <v>1</v>
      </c>
      <c r="R21" s="30">
        <f>IF(M21=Year_Open_to_Traffic?,Calculations!$J$5,Calculations!R20+(Calculations!R20*Calculations!O21*Q21))</f>
        <v>4538145.4565168973</v>
      </c>
      <c r="S21" s="45">
        <f t="shared" si="0"/>
        <v>1</v>
      </c>
      <c r="T21" s="30">
        <f t="shared" si="5"/>
        <v>4538.145456516897</v>
      </c>
      <c r="U21" s="31">
        <f>T21/(1+Real_Discount_Rate)^(Calculations!M21-'Assumed Values'!$C$5)</f>
        <v>1436.6606317343076</v>
      </c>
    </row>
    <row r="22" spans="1:21" ht="15.75">
      <c r="D22" s="39" t="s">
        <v>124</v>
      </c>
      <c r="E22" s="122">
        <f>($E$6*Unkn_Injry_Rate)/100000000</f>
        <v>0.8999862462446313</v>
      </c>
      <c r="L22" s="106"/>
      <c r="M22" s="107">
        <f>M21+1</f>
        <v>2036</v>
      </c>
      <c r="N22" s="112">
        <f t="shared" si="6"/>
        <v>33805.180174573477</v>
      </c>
      <c r="O22" s="113">
        <f t="shared" si="7"/>
        <v>2.0369532996425965E-2</v>
      </c>
      <c r="P22" s="114">
        <f t="shared" si="8"/>
        <v>0.75201238561391581</v>
      </c>
      <c r="Q22" s="115">
        <f t="shared" si="4"/>
        <v>1</v>
      </c>
      <c r="R22" s="30">
        <f>IF(M22=Year_Open_to_Traffic?,Calculations!$J$5,Calculations!R21+(Calculations!R21*Calculations!O22*Q22))</f>
        <v>4630585.3601359986</v>
      </c>
      <c r="S22" s="45">
        <f t="shared" si="0"/>
        <v>1</v>
      </c>
      <c r="T22" s="30">
        <f t="shared" si="5"/>
        <v>4630.5853601359986</v>
      </c>
      <c r="U22" s="31">
        <f>T22/(1+Real_Discount_Rate)^(Calculations!M22-'Assumed Values'!$C$5)</f>
        <v>1370.0231195112951</v>
      </c>
    </row>
    <row r="23" spans="1:21" ht="15.75">
      <c r="L23" s="106"/>
      <c r="M23" s="11">
        <f t="shared" si="1"/>
        <v>2037</v>
      </c>
      <c r="N23" s="112">
        <f t="shared" si="6"/>
        <v>34493.775907589574</v>
      </c>
      <c r="O23" s="113">
        <f t="shared" si="7"/>
        <v>2.0369532996425965E-2</v>
      </c>
      <c r="P23" s="114">
        <f t="shared" si="8"/>
        <v>0.76733052671639945</v>
      </c>
      <c r="Q23" s="115">
        <f t="shared" si="4"/>
        <v>1</v>
      </c>
      <c r="R23" s="30">
        <f>IF(M23=Year_Open_to_Traffic?,Calculations!$J$5,Calculations!R22+(Calculations!R22*Calculations!O23*Q23))</f>
        <v>4724908.2214220557</v>
      </c>
      <c r="S23" s="45">
        <f t="shared" si="0"/>
        <v>1</v>
      </c>
      <c r="T23" s="30">
        <f t="shared" si="5"/>
        <v>4724.9082214220562</v>
      </c>
      <c r="U23" s="31">
        <f>T23/(1+Real_Discount_Rate)^(Calculations!M23-'Assumed Values'!$C$5)</f>
        <v>1306.4764959346232</v>
      </c>
    </row>
    <row r="24" spans="1:21" ht="15.75">
      <c r="L24" s="106"/>
      <c r="M24" s="107">
        <f t="shared" si="1"/>
        <v>2038</v>
      </c>
      <c r="N24" s="112">
        <f t="shared" si="6"/>
        <v>35196.398014110542</v>
      </c>
      <c r="O24" s="113">
        <f t="shared" si="7"/>
        <v>2.0369532996425965E-2</v>
      </c>
      <c r="P24" s="114">
        <f t="shared" si="8"/>
        <v>0.78296069119951406</v>
      </c>
      <c r="Q24" s="115">
        <f t="shared" si="4"/>
        <v>1</v>
      </c>
      <c r="R24" s="30">
        <f>IF(M24=Year_Open_to_Traffic?,Calculations!$J$5,Calculations!R23+(Calculations!R23*Calculations!O24*Q24))</f>
        <v>4821152.3953433968</v>
      </c>
      <c r="S24" s="45">
        <f t="shared" si="0"/>
        <v>1</v>
      </c>
      <c r="T24" s="30">
        <f t="shared" si="5"/>
        <v>4821.1523953433971</v>
      </c>
      <c r="U24" s="31">
        <f>T24/(1+Real_Discount_Rate)^(Calculations!M24-'Assumed Values'!$C$5)</f>
        <v>1245.8773944183351</v>
      </c>
    </row>
    <row r="25" spans="1:21" ht="15.75">
      <c r="A25" s="135" t="s">
        <v>125</v>
      </c>
      <c r="B25" s="135"/>
      <c r="D25" s="101" t="s">
        <v>119</v>
      </c>
      <c r="E25" s="101" t="s">
        <v>120</v>
      </c>
      <c r="F25" s="101" t="s">
        <v>121</v>
      </c>
      <c r="G25" s="101" t="s">
        <v>122</v>
      </c>
      <c r="H25" s="101" t="s">
        <v>123</v>
      </c>
      <c r="I25" s="101" t="s">
        <v>124</v>
      </c>
      <c r="J25" s="136" t="s">
        <v>126</v>
      </c>
      <c r="L25" s="106"/>
      <c r="M25" s="11">
        <f t="shared" si="1"/>
        <v>2039</v>
      </c>
      <c r="N25" s="112">
        <f t="shared" si="6"/>
        <v>35913.332204814309</v>
      </c>
      <c r="O25" s="113">
        <f t="shared" si="7"/>
        <v>2.0369532996425965E-2</v>
      </c>
      <c r="P25" s="114">
        <f t="shared" si="8"/>
        <v>0.79890923483380705</v>
      </c>
      <c r="Q25" s="115">
        <f t="shared" si="4"/>
        <v>1</v>
      </c>
      <c r="R25" s="30">
        <f>IF(M25=Year_Open_to_Traffic?,Calculations!$J$5,Calculations!R24+(Calculations!R24*Calculations!O25*Q25))</f>
        <v>4919357.0181411421</v>
      </c>
      <c r="S25" s="45">
        <f t="shared" si="0"/>
        <v>1</v>
      </c>
      <c r="T25" s="30">
        <f t="shared" si="5"/>
        <v>4919.3570181411424</v>
      </c>
      <c r="U25" s="31">
        <f>T25/(1+Real_Discount_Rate)^(Calculations!M25-'Assumed Values'!$C$5)</f>
        <v>1188.0890982368603</v>
      </c>
    </row>
    <row r="26" spans="1:21" ht="15.75">
      <c r="A26" s="135"/>
      <c r="B26" s="135"/>
      <c r="D26" s="123">
        <f>Calculations!E17</f>
        <v>0.36428014728949359</v>
      </c>
      <c r="E26" s="123">
        <f>Calculations!E18</f>
        <v>0.67498968468347342</v>
      </c>
      <c r="F26" s="123">
        <f>Calculations!E19</f>
        <v>1.649974784781824</v>
      </c>
      <c r="G26" s="123">
        <f>Calculations!E20</f>
        <v>3.5892308629994218</v>
      </c>
      <c r="H26" s="123">
        <f>Calculations!E21</f>
        <v>26.699591971924058</v>
      </c>
      <c r="I26" s="123">
        <f>Calculations!E22</f>
        <v>0.8999862462446313</v>
      </c>
      <c r="J26" s="136"/>
      <c r="L26" s="106"/>
      <c r="M26" s="107">
        <f t="shared" si="1"/>
        <v>2040</v>
      </c>
      <c r="N26" s="112">
        <f t="shared" si="6"/>
        <v>36644.870010171879</v>
      </c>
      <c r="O26" s="113">
        <f t="shared" si="7"/>
        <v>2.0369532996425965E-2</v>
      </c>
      <c r="P26" s="114">
        <f t="shared" si="8"/>
        <v>0.81518264285390374</v>
      </c>
      <c r="Q26" s="115">
        <f t="shared" si="4"/>
        <v>1</v>
      </c>
      <c r="R26" s="30">
        <f>IF(M26=Year_Open_to_Traffic?,Calculations!$J$5,Calculations!R25+(Calculations!R25*Calculations!O26*Q26))</f>
        <v>5019562.0232433677</v>
      </c>
      <c r="S26" s="45">
        <f t="shared" si="0"/>
        <v>1</v>
      </c>
      <c r="T26" s="30">
        <f t="shared" si="5"/>
        <v>5019.5620232433675</v>
      </c>
      <c r="U26" s="31">
        <f>T26/(1+Real_Discount_Rate)^(Calculations!M26-'Assumed Values'!$C$5)</f>
        <v>1132.9812320804579</v>
      </c>
    </row>
    <row r="27" spans="1:21" ht="15.75">
      <c r="A27" s="38" t="s">
        <v>127</v>
      </c>
      <c r="B27" s="39" t="s">
        <v>128</v>
      </c>
      <c r="D27" s="124">
        <f>D$26*'Value of Statistical Life'!D17*Appropriate_Crash_Reduction_Factor</f>
        <v>0</v>
      </c>
      <c r="E27" s="124">
        <f>E$26*'Value of Statistical Life'!E17*Appropriate_Crash_Reduction_Factor</f>
        <v>1.8559516370056785E-2</v>
      </c>
      <c r="F27" s="124">
        <f>F$26*'Value of Statistical Life'!F17*Appropriate_Crash_Reduction_Factor</f>
        <v>0.11017871622859109</v>
      </c>
      <c r="G27" s="124">
        <f>G$26*'Value of Statistical Life'!G17*Appropriate_Crash_Reduction_Factor</f>
        <v>0.67296642988893962</v>
      </c>
      <c r="H27" s="124">
        <f>H$26*'Value of Statistical Life'!H17*Appropriate_Crash_Reduction_Factor</f>
        <v>19.764960348240166</v>
      </c>
      <c r="I27" s="124">
        <f>I$26*'Value of Statistical Life'!I17*Appropriate_Crash_Reduction_Factor</f>
        <v>0.31446239432784417</v>
      </c>
      <c r="J27" s="124">
        <f t="shared" ref="J27:J33" si="9">SUM(D27:I27)</f>
        <v>20.881127405055597</v>
      </c>
      <c r="K27" s="69"/>
      <c r="L27" s="106"/>
      <c r="M27" s="11">
        <f t="shared" si="1"/>
        <v>2041</v>
      </c>
      <c r="N27" s="112">
        <f t="shared" si="6"/>
        <v>37391.308898993811</v>
      </c>
      <c r="O27" s="113">
        <f t="shared" si="7"/>
        <v>2.0369532996425965E-2</v>
      </c>
      <c r="P27" s="114">
        <f t="shared" si="8"/>
        <v>0.8317875325956301</v>
      </c>
      <c r="Q27" s="115">
        <f t="shared" si="4"/>
        <v>1</v>
      </c>
      <c r="R27" s="30">
        <f>IF(M27=Year_Open_to_Traffic?,Calculations!$J$5,Calculations!R26+(Calculations!R26*Calculations!O27*Q27))</f>
        <v>5121808.1575034298</v>
      </c>
      <c r="S27" s="45">
        <f t="shared" si="0"/>
        <v>1</v>
      </c>
      <c r="T27" s="30">
        <f t="shared" si="5"/>
        <v>5121.8081575034294</v>
      </c>
      <c r="U27" s="31">
        <f>T27/(1+Real_Discount_Rate)^(Calculations!M27-'Assumed Values'!$C$5)</f>
        <v>1080.4294679174318</v>
      </c>
    </row>
    <row r="28" spans="1:21" ht="15.75">
      <c r="A28" s="38" t="s">
        <v>129</v>
      </c>
      <c r="B28" s="39" t="s">
        <v>130</v>
      </c>
      <c r="D28" s="124">
        <f>D$26*'Value of Statistical Life'!D18*Appropriate_Crash_Reduction_Factor</f>
        <v>0</v>
      </c>
      <c r="E28" s="124">
        <f>E$26*'Value of Statistical Life'!E18*Appropriate_Crash_Reduction_Factor</f>
        <v>0.29942002420811137</v>
      </c>
      <c r="F28" s="124">
        <f>F$26*'Value of Statistical Life'!F18*Appropriate_Crash_Reduction_Factor</f>
        <v>1.0143120990959176</v>
      </c>
      <c r="G28" s="124">
        <f>G$26*'Value of Statistical Life'!G18*Appropriate_Crash_Reduction_Factor</f>
        <v>1.9797048886428652</v>
      </c>
      <c r="H28" s="124">
        <f>H$26*'Value of Statistical Life'!H18*Appropriate_Crash_Reduction_Factor</f>
        <v>1.5500715115220229</v>
      </c>
      <c r="I28" s="124">
        <f>I$26*'Value of Statistical Life'!I18*Appropriate_Crash_Reduction_Factor</f>
        <v>0.30051620745603735</v>
      </c>
      <c r="J28" s="124">
        <f t="shared" si="9"/>
        <v>5.1440247309249543</v>
      </c>
      <c r="K28" s="69"/>
      <c r="L28" s="106"/>
      <c r="M28" s="107">
        <f t="shared" si="1"/>
        <v>2042</v>
      </c>
      <c r="N28" s="112">
        <f t="shared" si="6"/>
        <v>38152.952399391419</v>
      </c>
      <c r="O28" s="113">
        <f t="shared" si="7"/>
        <v>2.0369532996425965E-2</v>
      </c>
      <c r="P28" s="114">
        <f t="shared" si="8"/>
        <v>0.84873065618685251</v>
      </c>
      <c r="Q28" s="115">
        <f t="shared" si="4"/>
        <v>1</v>
      </c>
      <c r="R28" s="30">
        <f>IF(M28=Year_Open_to_Traffic?,Calculations!$J$5,Calculations!R27+(Calculations!R27*Calculations!O28*Q28))</f>
        <v>5226136.9977690596</v>
      </c>
      <c r="S28" s="45">
        <f t="shared" si="0"/>
        <v>1</v>
      </c>
      <c r="T28" s="30">
        <f t="shared" si="5"/>
        <v>5226.1369977690592</v>
      </c>
      <c r="U28" s="31">
        <f>T28/(1+Real_Discount_Rate)^(Calculations!M28-'Assumed Values'!$C$5)</f>
        <v>1030.3152444995203</v>
      </c>
    </row>
    <row r="29" spans="1:21" ht="15.75">
      <c r="A29" s="38" t="s">
        <v>131</v>
      </c>
      <c r="B29" s="39" t="s">
        <v>132</v>
      </c>
      <c r="D29" s="124">
        <f>D$26*'Value of Statistical Life'!D19*Appropriate_Crash_Reduction_Factor</f>
        <v>0</v>
      </c>
      <c r="E29" s="124">
        <f>E$26*'Value of Statistical Life'!E19*Appropriate_Crash_Reduction_Factor</f>
        <v>0.11290147461889651</v>
      </c>
      <c r="F29" s="124">
        <f>F$26*'Value of Statistical Life'!F19*Appropriate_Crash_Reduction_Factor</f>
        <v>0.14385140163641855</v>
      </c>
      <c r="G29" s="124">
        <f>G$26*'Value of Statistical Life'!G19*Appropriate_Crash_Reduction_Factor</f>
        <v>0.18351019556343443</v>
      </c>
      <c r="H29" s="124">
        <f>H$26*'Value of Statistical Life'!H19*Appropriate_Crash_Reduction_Factor</f>
        <v>4.2292153683527706E-2</v>
      </c>
      <c r="I29" s="124">
        <f>I$26*'Value of Statistical Life'!I19*Appropriate_Crash_Reduction_Factor</f>
        <v>6.3877423813458942E-2</v>
      </c>
      <c r="J29" s="124">
        <f t="shared" si="9"/>
        <v>0.5464326493157361</v>
      </c>
      <c r="K29" s="69"/>
      <c r="L29" s="106"/>
      <c r="M29" s="11">
        <f t="shared" si="1"/>
        <v>2043</v>
      </c>
      <c r="N29" s="112">
        <f t="shared" si="6"/>
        <v>38930.110222201889</v>
      </c>
      <c r="O29" s="113">
        <f t="shared" si="7"/>
        <v>2.0369532996425965E-2</v>
      </c>
      <c r="P29" s="114">
        <f t="shared" si="8"/>
        <v>0.86601890329312881</v>
      </c>
      <c r="Q29" s="115">
        <f t="shared" si="4"/>
        <v>1</v>
      </c>
      <c r="R29" s="30">
        <f>IF(M29=Year_Open_to_Traffic?,Calculations!$J$5,Calculations!R28+(Calculations!R28*Calculations!O29*Q29))</f>
        <v>5332590.9677889589</v>
      </c>
      <c r="S29" s="45">
        <f t="shared" si="0"/>
        <v>1</v>
      </c>
      <c r="T29" s="30">
        <f t="shared" si="5"/>
        <v>5332.5909677889586</v>
      </c>
      <c r="U29" s="31">
        <f>T29/(1+Real_Discount_Rate)^(Calculations!M29-'Assumed Values'!$C$5)</f>
        <v>982.52549987763916</v>
      </c>
    </row>
    <row r="30" spans="1:21" ht="15.75">
      <c r="A30" s="38" t="s">
        <v>133</v>
      </c>
      <c r="B30" s="39" t="s">
        <v>134</v>
      </c>
      <c r="D30" s="124">
        <f>D$26*'Value of Statistical Life'!D20*Appropriate_Crash_Reduction_Factor</f>
        <v>0</v>
      </c>
      <c r="E30" s="124">
        <f>E$26*'Value of Statistical Life'!E20*Appropriate_Crash_Reduction_Factor</f>
        <v>7.7958608622202441E-2</v>
      </c>
      <c r="F30" s="124">
        <f>F$26*'Value of Statistical Life'!F20*Appropriate_Crash_Reduction_Factor</f>
        <v>4.2120556305910412E-2</v>
      </c>
      <c r="G30" s="124">
        <f>G$26*'Value of Statistical Life'!G20*Appropriate_Crash_Reduction_Factor</f>
        <v>3.0752530034179049E-2</v>
      </c>
      <c r="H30" s="124">
        <f>H$26*'Value of Statistical Life'!H20*Appropriate_Crash_Reduction_Factor</f>
        <v>1.70877388620314E-3</v>
      </c>
      <c r="I30" s="124">
        <f>I$26*'Value of Statistical Life'!I20*Appropriate_Crash_Reduction_Factor</f>
        <v>3.4681869985283109E-2</v>
      </c>
      <c r="J30" s="124">
        <f t="shared" si="9"/>
        <v>0.18722233883377815</v>
      </c>
      <c r="K30" s="69"/>
      <c r="L30" s="106"/>
      <c r="M30" s="11">
        <f t="shared" si="1"/>
        <v>2044</v>
      </c>
      <c r="N30" s="112">
        <f t="shared" si="6"/>
        <v>39723.09838692753</v>
      </c>
      <c r="O30" s="113">
        <f t="shared" si="7"/>
        <v>2.0369532996425965E-2</v>
      </c>
      <c r="P30" s="114">
        <f t="shared" si="8"/>
        <v>0.88365930391928682</v>
      </c>
      <c r="Q30" s="115">
        <f t="shared" si="4"/>
        <v>1</v>
      </c>
      <c r="R30" s="30">
        <f>IF(M30=Year_Open_to_Traffic?,Calculations!$J$5,Calculations!R29+(Calculations!R29*Calculations!O30*Q30))</f>
        <v>5441213.3554637795</v>
      </c>
      <c r="S30" s="45">
        <f t="shared" si="0"/>
        <v>1</v>
      </c>
      <c r="T30" s="30">
        <f t="shared" si="5"/>
        <v>5441.2133554637794</v>
      </c>
      <c r="U30" s="31">
        <f>T30/(1+Real_Discount_Rate)^(Calculations!M30-'Assumed Values'!$C$5)</f>
        <v>936.95241632451109</v>
      </c>
    </row>
    <row r="31" spans="1:21" ht="15.75">
      <c r="A31" s="38" t="s">
        <v>135</v>
      </c>
      <c r="B31" s="39" t="s">
        <v>136</v>
      </c>
      <c r="D31" s="124">
        <f>D$26*'Value of Statistical Life'!D21*Appropriate_Crash_Reduction_Factor</f>
        <v>0</v>
      </c>
      <c r="E31" s="124">
        <f>E$26*'Value of Statistical Life'!E21*Appropriate_Crash_Reduction_Factor</f>
        <v>2.1524071065186601E-2</v>
      </c>
      <c r="F31" s="124">
        <f>F$26*'Value of Statistical Life'!F21*Appropriate_Crash_Reduction_Factor</f>
        <v>8.1838749325178466E-3</v>
      </c>
      <c r="G31" s="124">
        <f>G$26*'Value of Statistical Life'!G21*Appropriate_Crash_Reduction_Factor</f>
        <v>4.0773662603673438E-3</v>
      </c>
      <c r="H31" s="124">
        <f>H$26*'Value of Statistical Life'!H21*Appropriate_Crash_Reduction_Factor</f>
        <v>0</v>
      </c>
      <c r="I31" s="124">
        <f>I$26*'Value of Statistical Life'!I21*Appropriate_Crash_Reduction_Factor</f>
        <v>4.442332111463501E-3</v>
      </c>
      <c r="J31" s="124">
        <f t="shared" si="9"/>
        <v>3.8227644369535289E-2</v>
      </c>
      <c r="K31" s="69"/>
      <c r="L31" s="106"/>
      <c r="M31" s="11">
        <f t="shared" si="1"/>
        <v>2045</v>
      </c>
      <c r="N31" s="112">
        <f t="shared" si="6"/>
        <v>40532.239350240328</v>
      </c>
      <c r="O31" s="113">
        <f t="shared" si="7"/>
        <v>2.0369532996425965E-2</v>
      </c>
      <c r="P31" s="114">
        <f t="shared" si="8"/>
        <v>0.90165903126806957</v>
      </c>
      <c r="Q31" s="115">
        <f t="shared" si="4"/>
        <v>1</v>
      </c>
      <c r="R31" s="30">
        <f>IF(M31=Year_Open_to_Traffic?,Calculations!$J$5,Calculations!R30+(Calculations!R30*Calculations!O31*Q31))</f>
        <v>5552048.3304484924</v>
      </c>
      <c r="S31" s="45">
        <f t="shared" si="0"/>
        <v>1</v>
      </c>
      <c r="T31" s="30">
        <f t="shared" si="5"/>
        <v>5552.0483304484924</v>
      </c>
      <c r="U31" s="31">
        <f>T31/(1+Real_Discount_Rate)^(Calculations!M31-'Assumed Values'!$C$5)</f>
        <v>893.49317708870467</v>
      </c>
    </row>
    <row r="32" spans="1:21" ht="15.75">
      <c r="A32" s="38" t="s">
        <v>137</v>
      </c>
      <c r="B32" s="39" t="s">
        <v>138</v>
      </c>
      <c r="D32" s="124">
        <f>D$26*'Value of Statistical Life'!D22*Appropriate_Crash_Reduction_Factor</f>
        <v>0</v>
      </c>
      <c r="E32" s="124">
        <f>E$26*'Value of Statistical Life'!E22*Appropriate_Crash_Reduction_Factor</f>
        <v>9.6280528623250636E-3</v>
      </c>
      <c r="F32" s="124">
        <f>F$26*'Value of Statistical Life'!F22*Appropriate_Crash_Reduction_Factor</f>
        <v>1.3331796261037139E-3</v>
      </c>
      <c r="G32" s="124">
        <f>G$26*'Value of Statistical Life'!G22*Appropriate_Crash_Reduction_Factor</f>
        <v>3.7328000975193985E-4</v>
      </c>
      <c r="H32" s="124">
        <f>H$26*'Value of Statistical Life'!H22*Appropriate_Crash_Reduction_Factor</f>
        <v>6.4079020732617752E-4</v>
      </c>
      <c r="I32" s="124">
        <f>I$26*'Value of Statistical Life'!I22*Appropriate_Crash_Reduction_Factor</f>
        <v>2.0087693016180171E-3</v>
      </c>
      <c r="J32" s="124">
        <f t="shared" si="9"/>
        <v>1.3984072007124912E-2</v>
      </c>
      <c r="K32" s="69"/>
      <c r="L32" s="106"/>
      <c r="M32" s="11">
        <f t="shared" si="1"/>
        <v>2046</v>
      </c>
      <c r="N32" s="112">
        <f t="shared" si="6"/>
        <v>41357.862137104086</v>
      </c>
      <c r="O32" s="113">
        <f t="shared" si="7"/>
        <v>2.0369532996425965E-2</v>
      </c>
      <c r="P32" s="114">
        <f t="shared" si="8"/>
        <v>0.92002540465700999</v>
      </c>
      <c r="Q32" s="115">
        <f t="shared" si="4"/>
        <v>1</v>
      </c>
      <c r="R32" s="30">
        <f>IF(M32=Year_Open_to_Traffic?,Calculations!$J$5,Calculations!R31+(Calculations!R31*Calculations!O32*Q32))</f>
        <v>5665140.9621133143</v>
      </c>
      <c r="S32" s="45">
        <f t="shared" si="0"/>
        <v>1</v>
      </c>
      <c r="T32" s="30">
        <f t="shared" si="5"/>
        <v>5665.1409621133143</v>
      </c>
      <c r="U32" s="31">
        <f>T32/(1+Real_Discount_Rate)^(Calculations!M32-'Assumed Values'!$C$5)</f>
        <v>852.04973443130348</v>
      </c>
    </row>
    <row r="33" spans="1:21" ht="15.75">
      <c r="A33" s="38" t="s">
        <v>139</v>
      </c>
      <c r="B33" s="39" t="s">
        <v>140</v>
      </c>
      <c r="D33" s="124">
        <f>D$26*'Value of Statistical Life'!D23*Appropriate_Crash_Reduction_Factor</f>
        <v>0.29142411783159489</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0.29142411783159489</v>
      </c>
      <c r="K33" s="69"/>
      <c r="L33" s="106"/>
      <c r="M33" s="11">
        <f t="shared" si="1"/>
        <v>2047</v>
      </c>
      <c r="N33" s="112">
        <f t="shared" si="6"/>
        <v>42200.302474567463</v>
      </c>
      <c r="O33" s="113">
        <f t="shared" si="7"/>
        <v>2.0369532996425965E-2</v>
      </c>
      <c r="P33" s="114">
        <f t="shared" si="8"/>
        <v>0.93876589249472109</v>
      </c>
      <c r="Q33" s="115">
        <f t="shared" si="4"/>
        <v>1</v>
      </c>
      <c r="R33" s="30">
        <f>IF(M33=Year_Open_to_Traffic?,Calculations!$J$5,Calculations!R32+(Calculations!R32*Calculations!O33*Q33))</f>
        <v>5780537.2378704855</v>
      </c>
      <c r="S33" s="45">
        <f t="shared" si="0"/>
        <v>1</v>
      </c>
      <c r="T33" s="30">
        <f t="shared" si="5"/>
        <v>5780.5372378704851</v>
      </c>
      <c r="U33" s="31">
        <f>T33/(1+Real_Discount_Rate)^(Calculations!M33-'Assumed Values'!$C$5)</f>
        <v>812.52858842186697</v>
      </c>
    </row>
    <row r="34" spans="1:21" ht="15.75">
      <c r="J34" s="125"/>
      <c r="L34" s="106"/>
      <c r="M34" s="11">
        <f t="shared" si="1"/>
        <v>2048</v>
      </c>
      <c r="N34" s="112">
        <f t="shared" si="6"/>
        <v>43059.902928282318</v>
      </c>
      <c r="O34" s="113">
        <f t="shared" si="7"/>
        <v>2.0369532996425965E-2</v>
      </c>
      <c r="P34" s="114">
        <f t="shared" si="8"/>
        <v>0.95788811531781159</v>
      </c>
      <c r="Q34" s="115">
        <f t="shared" si="4"/>
        <v>1</v>
      </c>
      <c r="R34" s="30">
        <f>IF(M34=Year_Open_to_Traffic?,Calculations!$J$5,Calculations!R33+(Calculations!R33*Calculations!O34*Q34))</f>
        <v>5898284.0818743575</v>
      </c>
      <c r="S34" s="45">
        <f t="shared" si="0"/>
        <v>1</v>
      </c>
      <c r="T34" s="30">
        <f t="shared" si="5"/>
        <v>5898.284081874358</v>
      </c>
      <c r="U34" s="31">
        <f>T34/(1+Real_Discount_Rate)^(Calculations!M34-'Assumed Values'!$C$5)</f>
        <v>774.84057599464097</v>
      </c>
    </row>
    <row r="35" spans="1:21" ht="15.75">
      <c r="G35" s="41"/>
      <c r="H35" s="41"/>
      <c r="L35" s="106"/>
      <c r="M35" s="11">
        <f t="shared" si="1"/>
        <v>2049</v>
      </c>
      <c r="N35" s="112">
        <f t="shared" si="6"/>
        <v>43937.013041802864</v>
      </c>
      <c r="O35" s="113">
        <f t="shared" si="7"/>
        <v>2.0369532996425965E-2</v>
      </c>
      <c r="P35" s="114">
        <f t="shared" si="8"/>
        <v>0.97739984888966203</v>
      </c>
      <c r="Q35" s="115">
        <f t="shared" si="4"/>
        <v>1</v>
      </c>
      <c r="R35" s="30">
        <f>IF(M35=Year_Open_to_Traffic?,Calculations!$J$5,Calculations!R34+(Calculations!R34*Calculations!O35*Q35))</f>
        <v>6018429.3741023913</v>
      </c>
      <c r="S35" s="45">
        <f t="shared" si="0"/>
        <v>1</v>
      </c>
      <c r="T35" s="30">
        <f t="shared" si="5"/>
        <v>6018.4293741023912</v>
      </c>
      <c r="U35" s="31">
        <f>T35/(1+Real_Discount_Rate)^(Calculations!M35-'Assumed Values'!$C$5)</f>
        <v>738.90066978909647</v>
      </c>
    </row>
    <row r="36" spans="1:21" ht="15.75">
      <c r="G36" s="41"/>
      <c r="H36" s="41"/>
      <c r="L36" s="106"/>
      <c r="M36" s="11">
        <f t="shared" si="1"/>
        <v>2050</v>
      </c>
      <c r="N36" s="112">
        <f t="shared" si="6"/>
        <v>44831.989478722266</v>
      </c>
      <c r="O36" s="113">
        <f t="shared" si="7"/>
        <v>2.0369532996425965E-2</v>
      </c>
      <c r="P36" s="114">
        <f t="shared" si="8"/>
        <v>0.99730902736232174</v>
      </c>
      <c r="Q36" s="115">
        <f t="shared" si="4"/>
        <v>1</v>
      </c>
      <c r="R36" s="30">
        <f>IF(M36=Year_Open_to_Traffic?,Calculations!$J$5,Calculations!R35+(Calculations!R35*Calculations!O36*Q36))</f>
        <v>6141021.9698248291</v>
      </c>
      <c r="S36" s="45">
        <f t="shared" si="0"/>
        <v>1</v>
      </c>
      <c r="T36" s="30">
        <f t="shared" si="5"/>
        <v>6141.0219698248293</v>
      </c>
      <c r="U36" s="31">
        <f>T36/(1+Real_Discount_Rate)^(Calculations!M36-'Assumed Values'!$C$5)</f>
        <v>704.62778632097843</v>
      </c>
    </row>
    <row r="37" spans="1:21">
      <c r="M37" s="39"/>
      <c r="N37" s="39"/>
      <c r="O37" s="118"/>
      <c r="P37" s="120"/>
      <c r="Q37" s="39"/>
      <c r="R37" s="39"/>
      <c r="S37" s="39"/>
      <c r="T37" s="39"/>
      <c r="U37" s="31">
        <f>SUM(U4:U36)</f>
        <v>37747.243841928961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50</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50</v>
      </c>
      <c r="D19" s="60"/>
      <c r="E19" s="60">
        <v>3.3935222811020584</v>
      </c>
      <c r="F19" s="60">
        <v>4.2419028513775725</v>
      </c>
      <c r="G19" s="60">
        <v>9.3321862730306595</v>
      </c>
      <c r="H19" s="60">
        <v>22.057894827163377</v>
      </c>
      <c r="I19" s="60">
        <v>135.74089124408232</v>
      </c>
      <c r="J19" s="60">
        <v>3.3935222811020584</v>
      </c>
      <c r="M19" s="39" t="s">
        <v>50</v>
      </c>
      <c r="N19" s="84">
        <v>453352.42</v>
      </c>
      <c r="O19" s="84">
        <f t="shared" si="0"/>
        <v>117871629.2</v>
      </c>
      <c r="Q19" s="63" t="s">
        <v>50</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50</v>
      </c>
      <c r="D33" s="60"/>
      <c r="E33" s="60">
        <v>5.3130646924395055</v>
      </c>
      <c r="F33" s="60">
        <v>9.8447963418732023</v>
      </c>
      <c r="G33" s="60">
        <v>24.065057724578939</v>
      </c>
      <c r="H33" s="60">
        <v>52.349313881389243</v>
      </c>
      <c r="I33" s="60">
        <v>389.41638863409548</v>
      </c>
      <c r="J33" s="60">
        <v>13.126395122497602</v>
      </c>
      <c r="M33" s="39" t="s">
        <v>50</v>
      </c>
      <c r="N33" s="84">
        <v>2461276.84</v>
      </c>
      <c r="O33" s="84">
        <f t="shared" si="2"/>
        <v>639931978.39999998</v>
      </c>
      <c r="Q33" s="63" t="s">
        <v>50</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77E544-3CC5-4932-82BA-904FCD7123E1}"/>
</file>

<file path=customXml/itemProps2.xml><?xml version="1.0" encoding="utf-8"?>
<ds:datastoreItem xmlns:ds="http://schemas.openxmlformats.org/officeDocument/2006/customXml" ds:itemID="{FAE69DB9-D1A7-4062-A56D-8C88B884C03C}"/>
</file>

<file path=customXml/itemProps3.xml><?xml version="1.0" encoding="utf-8"?>
<ds:datastoreItem xmlns:ds="http://schemas.openxmlformats.org/officeDocument/2006/customXml" ds:itemID="{7BD76055-F6C0-4856-B0A0-C887555D4B7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