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5_HW_SH146/"/>
    </mc:Choice>
  </mc:AlternateContent>
  <xr:revisionPtr revIDLastSave="4" documentId="8_{12E02DE3-5497-4119-98CE-F99D31F3B974}" xr6:coauthVersionLast="40" xr6:coauthVersionMax="40" xr10:uidLastSave="{33C4172A-13B8-408B-8F9C-0C629EE4E93F}"/>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18" i="12"/>
  <c r="E26" i="12"/>
  <c r="E20" i="12"/>
  <c r="G26" i="12"/>
  <c r="E21" i="12"/>
  <c r="H26" i="12"/>
  <c r="E17" i="12"/>
  <c r="D26" i="12"/>
  <c r="E22" i="12"/>
  <c r="I26" i="12"/>
  <c r="S36" i="12"/>
  <c r="P36" i="12"/>
  <c r="Q36" i="12"/>
  <c r="I31" i="12"/>
  <c r="I27" i="12"/>
  <c r="I29" i="12"/>
  <c r="I28" i="12"/>
  <c r="I32" i="12"/>
  <c r="I33" i="12"/>
  <c r="I30" i="12"/>
  <c r="G27" i="12"/>
  <c r="G33" i="12"/>
  <c r="G31" i="12"/>
  <c r="G30" i="12"/>
  <c r="G29" i="12"/>
  <c r="G32" i="12"/>
  <c r="G28" i="12"/>
  <c r="D27" i="12"/>
  <c r="E27" i="12"/>
  <c r="F27" i="12"/>
  <c r="H27" i="12"/>
  <c r="J27" i="12"/>
  <c r="D28" i="12"/>
  <c r="E28" i="12"/>
  <c r="F28" i="12"/>
  <c r="H28" i="12"/>
  <c r="J28" i="12"/>
  <c r="D29" i="12"/>
  <c r="E29" i="12"/>
  <c r="F29" i="12"/>
  <c r="H29" i="12"/>
  <c r="J29" i="12"/>
  <c r="D30" i="12"/>
  <c r="E30" i="12"/>
  <c r="F30" i="12"/>
  <c r="H30" i="12"/>
  <c r="J30" i="12"/>
  <c r="D31" i="12"/>
  <c r="E31" i="12"/>
  <c r="F31" i="12"/>
  <c r="H31" i="12"/>
  <c r="J31" i="12"/>
  <c r="D32" i="12"/>
  <c r="E32" i="12"/>
  <c r="F32" i="12"/>
  <c r="H32" i="12"/>
  <c r="J32" i="12"/>
  <c r="D33" i="12"/>
  <c r="E33" i="12"/>
  <c r="F33" i="12"/>
  <c r="H33" i="12"/>
  <c r="J33" i="12"/>
  <c r="J5"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<sst xmlns="http://schemas.openxmlformats.org/spreadsheetml/2006/main" count="441" uniqueCount="286">
  <si>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</si>
  <si>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</si>
  <si>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</si>
  <si>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</si>
  <si>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</si>
  <si>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</si>
  <si>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</si>
  <si>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</si>
  <si>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</si>
  <si>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</si>
  <si>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</si>
  <si>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</si>
  <si>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</si>
  <si>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</si>
  <si>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</si>
  <si>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</si>
  <si>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</si>
  <si>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</si>
  <si>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</si>
  <si>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</si>
  <si>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</si>
  <si>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</si>
  <si>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</si>
  <si>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</si>
  <si>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</si>
  <si>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</si>
  <si>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</si>
  <si>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</si>
  <si>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</si>
  <si>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</si>
  <si>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</si>
  <si>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</si>
  <si>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</si>
  <si>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</si>
  <si>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</si>
  <si>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</si>
  <si>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</si>
  <si>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</si>
  <si>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</si>
  <si>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</si>
  <si>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</si>
  <si>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</si>
  <si>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</si>
  <si>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</si>
  <si>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</si>
  <si>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</si>
  <si>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</si>
  <si>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</si>
  <si>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146 Railroad Overpass</t>
  </si>
  <si>
    <t>County</t>
  </si>
  <si>
    <t>Galveston</t>
  </si>
  <si>
    <t>Data entered by the sponsors</t>
  </si>
  <si>
    <t>Facility Type</t>
  </si>
  <si>
    <t>Non-Freeway</t>
  </si>
  <si>
    <t>HGAC regional travel demand model data provided by HGAC upon request</t>
  </si>
  <si>
    <t>Street Name:</t>
  </si>
  <si>
    <t>SH 146</t>
  </si>
  <si>
    <t>Populated based on selection in cell "C18"</t>
  </si>
  <si>
    <t>Limits (From)</t>
  </si>
  <si>
    <t>FM 519</t>
  </si>
  <si>
    <t>Benefits calculated by the template</t>
  </si>
  <si>
    <t>Limits (To)</t>
  </si>
  <si>
    <t>LOOP 197</t>
  </si>
  <si>
    <t>Length (in Miles)</t>
  </si>
  <si>
    <t>Application ID Number:</t>
  </si>
  <si>
    <t>Sponsor ID Number (CSJ, etc.):</t>
  </si>
  <si>
    <t>0389-07-025</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</si>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</sst>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4">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3" t="s">
        <v>11</v>
      </c>
      <c r="E6" s="134"/>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3" t="s">
        <v>11</v>
      </c>
      <c r="E6" s="134"/>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3" t="s">
        <v>37</v>
      </c>
      <c r="E8" s="134"/>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8" sqref="C8"/>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4" t="s">
        <v>46</v>
      </c>
      <c r="C3" s="45"/>
      <c r="D3" s="45"/>
      <c r="E3" s="45"/>
      <c r="F3" s="45"/>
    </row>
    <row r="5" spans="2:19">
      <c r="B5" s="5" t="s">
        <v>0</v>
      </c>
    </row>
    <row r="6" spans="2:19">
      <c r="B6" s="3" t="s">
        <v>47</v>
      </c>
      <c r="C6" s="131" t="s">
        <v>48</v>
      </c>
      <c r="D6" s="79"/>
    </row>
    <row r="7" spans="2:19">
      <c r="B7" s="3" t="s">
        <v>49</v>
      </c>
      <c r="C7" s="98" t="s">
        <v>50</v>
      </c>
      <c r="D7" s="54"/>
      <c r="E7" s="3"/>
      <c r="F7" t="s">
        <v>51</v>
      </c>
    </row>
    <row r="8" spans="2:19">
      <c r="B8" s="3" t="s">
        <v>52</v>
      </c>
      <c r="C8" s="98" t="s">
        <v>53</v>
      </c>
      <c r="D8" s="54"/>
      <c r="E8" s="74"/>
      <c r="F8" t="s">
        <v>54</v>
      </c>
    </row>
    <row r="9" spans="2:19">
      <c r="B9" s="3" t="s">
        <v>55</v>
      </c>
      <c r="C9" s="132" t="s">
        <v>56</v>
      </c>
      <c r="D9" s="54"/>
      <c r="E9" s="100"/>
      <c r="F9" t="s">
        <v>57</v>
      </c>
    </row>
    <row r="10" spans="2:19">
      <c r="B10" s="3" t="s">
        <v>58</v>
      </c>
      <c r="C10" s="132" t="s">
        <v>59</v>
      </c>
      <c r="D10" s="54"/>
      <c r="E10" s="8"/>
      <c r="F10" t="s">
        <v>60</v>
      </c>
    </row>
    <row r="11" spans="2:19">
      <c r="B11" s="3" t="s">
        <v>61</v>
      </c>
      <c r="C11" s="132" t="s">
        <v>62</v>
      </c>
      <c r="D11" s="54"/>
    </row>
    <row r="12" spans="2:19">
      <c r="B12" s="3" t="s">
        <v>63</v>
      </c>
      <c r="C12" s="98">
        <v>1.72</v>
      </c>
      <c r="D12" s="80"/>
      <c r="N12" s="135"/>
      <c r="O12" s="135"/>
      <c r="P12" s="135"/>
      <c r="Q12" s="135"/>
      <c r="R12" s="135"/>
      <c r="S12" s="135"/>
    </row>
    <row r="13" spans="2:19">
      <c r="B13" s="3" t="s">
        <v>64</v>
      </c>
      <c r="C13" s="98"/>
      <c r="D13" s="54"/>
    </row>
    <row r="14" spans="2:19">
      <c r="B14" s="3" t="s">
        <v>65</v>
      </c>
      <c r="C14" s="98" t="s">
        <v>66</v>
      </c>
      <c r="D14" s="54"/>
      <c r="G14" s="91"/>
    </row>
    <row r="15" spans="2:19">
      <c r="C15" s="54"/>
      <c r="D15" s="54"/>
    </row>
    <row r="16" spans="2:19">
      <c r="B16" s="5" t="s">
        <v>67</v>
      </c>
    </row>
    <row r="17" spans="2:13">
      <c r="B17" s="3" t="s">
        <v>68</v>
      </c>
      <c r="C17" s="98">
        <v>2024</v>
      </c>
      <c r="D17" s="81"/>
    </row>
    <row r="18" spans="2:13" ht="15">
      <c r="B18" s="3" t="s">
        <v>69</v>
      </c>
      <c r="C18" s="99" t="s">
        <v>70</v>
      </c>
    </row>
    <row r="19" spans="2:13">
      <c r="B19" s="100" t="s">
        <v>71</v>
      </c>
      <c r="C19" s="129">
        <f>VLOOKUP(C18,'CRF Lookup Table'!C3:F84,2, FALSE)</f>
        <v>514</v>
      </c>
      <c r="D19" s="82"/>
    </row>
    <row r="20" spans="2:13">
      <c r="B20" s="100" t="s">
        <v>72</v>
      </c>
      <c r="C20" s="130">
        <f>VLOOKUP(C18,'CRF Lookup Table'!C3:F84,3, FALSE)</f>
        <v>0.8</v>
      </c>
      <c r="D20" s="54"/>
      <c r="F20" s="58"/>
    </row>
    <row r="21" spans="2:13">
      <c r="B21" s="100" t="s">
        <v>73</v>
      </c>
      <c r="C21" s="129">
        <f>VLOOKUP(C18,'CRF Lookup Table'!C3:F84,4, FALSE)</f>
        <v>30</v>
      </c>
      <c r="D21" s="54"/>
      <c r="F21" s="58"/>
    </row>
    <row r="22" spans="2:13">
      <c r="F22" s="58"/>
      <c r="M22" s="88"/>
    </row>
    <row r="23" spans="2:13">
      <c r="C23" s="54"/>
      <c r="D23" s="54"/>
      <c r="F23" s="58"/>
    </row>
    <row r="24" spans="2:13">
      <c r="B24" s="92" t="s">
        <v>74</v>
      </c>
      <c r="C24" s="62"/>
      <c r="D24" s="62"/>
      <c r="M24" s="88"/>
    </row>
    <row r="25" spans="2:13">
      <c r="B25" s="3" t="s">
        <v>75</v>
      </c>
      <c r="C25" s="7">
        <v>18585</v>
      </c>
      <c r="D25" s="83"/>
      <c r="I25" s="42"/>
    </row>
    <row r="26" spans="2:13">
      <c r="I26" s="42"/>
    </row>
    <row r="27" spans="2:13">
      <c r="B27" s="74" t="s">
        <v>76</v>
      </c>
      <c r="C27" s="75">
        <v>8217</v>
      </c>
      <c r="D27" s="83"/>
      <c r="I27" s="42"/>
    </row>
    <row r="28" spans="2:13">
      <c r="B28" s="74" t="s">
        <v>77</v>
      </c>
      <c r="C28" s="75">
        <v>17848</v>
      </c>
      <c r="D28" s="83"/>
      <c r="I28" s="42"/>
    </row>
    <row r="29" spans="2:13">
      <c r="B29" s="74" t="s">
        <v>78</v>
      </c>
      <c r="C29" s="76">
        <v>10009</v>
      </c>
      <c r="D29" s="59"/>
      <c r="I29" s="42"/>
    </row>
    <row r="30" spans="2:13">
      <c r="B30" s="74" t="s">
        <v>79</v>
      </c>
      <c r="C30" s="76">
        <v>29095</v>
      </c>
      <c r="D30" s="59"/>
      <c r="I30" s="42"/>
    </row>
    <row r="31" spans="2:13">
      <c r="B31" s="74" t="s">
        <v>80</v>
      </c>
      <c r="C31" s="75">
        <v>11869</v>
      </c>
      <c r="D31" s="83"/>
      <c r="H31" s="60"/>
    </row>
    <row r="32" spans="2:13">
      <c r="B32" s="74" t="s">
        <v>81</v>
      </c>
      <c r="C32" s="75">
        <v>29095</v>
      </c>
      <c r="D32" s="83"/>
    </row>
    <row r="34" spans="2:9" ht="18">
      <c r="B34" s="44" t="s">
        <v>82</v>
      </c>
      <c r="C34" s="45"/>
      <c r="D34" s="45"/>
      <c r="E34" s="45"/>
      <c r="F34" s="45"/>
      <c r="I34" s="60"/>
    </row>
    <row r="36" spans="2:9">
      <c r="B36" s="9" t="s">
        <v>83</v>
      </c>
    </row>
    <row r="37" spans="2:9">
      <c r="B37" s="8" t="s">
        <v>84</v>
      </c>
      <c r="C37" s="35">
        <f>Calculations!U37</f>
        <v>45905.662506738518</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zoomScale="85" zoomScaleNormal="85" workbookViewId="0" xr3:uid="{F9CF3CF3-643B-5BE6-8B46-32C596A47465}">
      <selection activeCell="U37" sqref="U37"/>
    </sheetView>
  </sheetViews>
  <sheetFormatPr defaultColWidth="9.140625"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6">
      <c r="A4" s="14" t="s">
        <v>20</v>
      </c>
      <c r="B4" s="40">
        <v>2018</v>
      </c>
      <c r="D4" s="105" t="s">
        <v>94</v>
      </c>
      <c r="E4" s="106">
        <f>VLOOKUP(Year_Open_to_Traffic?,Calculations!M4:N36,2,Calculations!N4:N36)</f>
        <v>22009.00143902313</v>
      </c>
      <c r="G4" s="138" t="s">
        <v>95</v>
      </c>
      <c r="H4" s="138"/>
      <c r="I4" s="138"/>
      <c r="J4" s="138"/>
      <c r="L4" s="107"/>
      <c r="M4" s="108">
        <v>2018</v>
      </c>
      <c r="N4" s="109">
        <f>_2018_Volume_ADT</f>
        <v>18585</v>
      </c>
      <c r="O4" s="110" t="s">
        <v>96</v>
      </c>
      <c r="P4" s="111">
        <f>MIN(B12,1)</f>
        <v>0.4603877185118781</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6">
      <c r="A5" s="14" t="s">
        <v>97</v>
      </c>
      <c r="B5" s="14">
        <f>Service_Life</f>
        <v>30</v>
      </c>
      <c r="D5" s="105" t="s">
        <v>98</v>
      </c>
      <c r="E5" s="106">
        <f>$E$4*'Inputs &amp; Outputs'!$C$12</f>
        <v>37855.482475119781</v>
      </c>
      <c r="G5" s="139" t="s">
        <v>99</v>
      </c>
      <c r="H5" s="139"/>
      <c r="I5" s="139"/>
      <c r="J5" s="112">
        <f>SUMPRODUCT(Possible_Crash_Reductions,'Value of Statistical Life'!E5:E11)</f>
        <v>4871049.2285292344</v>
      </c>
      <c r="L5" s="107"/>
      <c r="M5" s="11">
        <f t="shared" ref="M5:M36" si="1">M4+1</f>
        <v>2019</v>
      </c>
      <c r="N5" s="113">
        <f>N4+(N4*O5)</f>
        <v>19116.227674338465</v>
      </c>
      <c r="O5" s="114">
        <f t="shared" ref="O5:O11" si="2">IF(ISERROR(_2025_2045_Demand_Growth),_2018_2045_Demand_Growth,_2018_2025_Demand_Growth)</f>
        <v>2.8583679006643159E-2</v>
      </c>
      <c r="P5" s="115">
        <f t="shared" ref="P5:P11" si="3">P4*(1+IFERROR(_2018_2025_V_C_Growth,_2018_2045_V_C_Growth))</f>
        <v>0.44161616091114853</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6">
      <c r="A6" s="14" t="s">
        <v>100</v>
      </c>
      <c r="B6" s="14">
        <v>260</v>
      </c>
      <c r="D6" s="105" t="s">
        <v>101</v>
      </c>
      <c r="E6" s="106">
        <f>$E$5*$B$6</f>
        <v>9842425.4435311425</v>
      </c>
      <c r="L6" s="107"/>
      <c r="M6" s="108">
        <f t="shared" si="1"/>
        <v>2020</v>
      </c>
      <c r="N6" s="113">
        <f t="shared" ref="N6:N36" si="6">N5+(N5*O6)</f>
        <v>19662.639789999663</v>
      </c>
      <c r="O6" s="114">
        <f t="shared" si="2"/>
        <v>2.8583679006643159E-2</v>
      </c>
      <c r="P6" s="115">
        <f t="shared" si="3"/>
        <v>0.42360998292544538</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6">
      <c r="B7" s="54"/>
      <c r="L7" s="107"/>
      <c r="M7" s="11">
        <f t="shared" si="1"/>
        <v>2021</v>
      </c>
      <c r="N7" s="113">
        <f t="shared" si="6"/>
        <v>20224.670374180263</v>
      </c>
      <c r="O7" s="114">
        <f t="shared" si="2"/>
        <v>2.8583679006643159E-2</v>
      </c>
      <c r="P7" s="115">
        <f t="shared" si="3"/>
        <v>0.40633797745051237</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6">
      <c r="A8" s="117" t="s">
        <v>21</v>
      </c>
      <c r="B8" s="101"/>
      <c r="D8" s="118" t="s">
        <v>102</v>
      </c>
      <c r="E8" s="58"/>
      <c r="L8" s="107"/>
      <c r="M8" s="108">
        <f t="shared" si="1"/>
        <v>2022</v>
      </c>
      <c r="N8" s="113">
        <f t="shared" si="6"/>
        <v>20802.765860170999</v>
      </c>
      <c r="O8" s="114">
        <f t="shared" si="2"/>
        <v>2.8583679006643159E-2</v>
      </c>
      <c r="P8" s="115">
        <f t="shared" si="3"/>
        <v>0.38977020980082117</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6">
      <c r="A9" s="40" t="s">
        <v>103</v>
      </c>
      <c r="B9" s="119">
        <f>(_2025_Peak_Period_Volume/'Inputs &amp; Outputs'!$C$27)^(1/(2025-2018))-1</f>
        <v>2.8583679006643159E-2</v>
      </c>
      <c r="D9" s="40" t="s">
        <v>104</v>
      </c>
      <c r="E9" s="120">
        <f>IF('Inputs &amp; Outputs'!$C$8='CRASH RATES'!$D$3, VLOOKUP('Inputs &amp; Outputs'!$C$7,'CRASH RATES'!$C$14:$J$21,3,FALSE), VLOOKUP('Inputs &amp; Outputs'!$C$7,'CRASH RATES'!$C$28:$J$35,3,FALSE))</f>
        <v>2.8942083274968362</v>
      </c>
      <c r="F9" s="86"/>
      <c r="L9" s="107"/>
      <c r="M9" s="11">
        <f t="shared" si="1"/>
        <v>2023</v>
      </c>
      <c r="N9" s="113">
        <f t="shared" si="6"/>
        <v>21397.385441968483</v>
      </c>
      <c r="O9" s="114">
        <f t="shared" si="2"/>
        <v>2.8583679006643159E-2</v>
      </c>
      <c r="P9" s="115">
        <f t="shared" si="3"/>
        <v>0.37387796582877481</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6">
      <c r="A10" s="40" t="s">
        <v>105</v>
      </c>
      <c r="B10" s="119">
        <f>(_2045_Peak_Period_Volume/_2025_Peak_Period_Volume)^(1/(2045-2025))-1</f>
        <v>8.5586814105238496E-3</v>
      </c>
      <c r="D10" s="40" t="s">
        <v>106</v>
      </c>
      <c r="E10" s="120">
        <f>IF('Inputs &amp; Outputs'!$C$8='CRASH RATES'!$D$3, VLOOKUP('Inputs &amp; Outputs'!$C$7,'CRASH RATES'!$C$14:$J$21,4,FALSE), VLOOKUP('Inputs &amp; Outputs'!$C$7,'CRASH RATES'!$C$28:$J$35,4,FALSE))</f>
        <v>14.04542276579347</v>
      </c>
      <c r="F10" s="86"/>
      <c r="L10" s="107"/>
      <c r="M10" s="108">
        <f t="shared" si="1"/>
        <v>2024</v>
      </c>
      <c r="N10" s="113">
        <f t="shared" si="6"/>
        <v>22009.00143902313</v>
      </c>
      <c r="O10" s="114">
        <f t="shared" si="2"/>
        <v>2.8583679006643159E-2</v>
      </c>
      <c r="P10" s="115">
        <f t="shared" si="3"/>
        <v>0.35863370215926649</v>
      </c>
      <c r="Q10" s="116">
        <f t="shared" si="4"/>
        <v>1</v>
      </c>
      <c r="R10" s="31">
        <f>IF(M10=Year_Open_to_Traffic?,Calculations!$J$5,Calculations!R9+(Calculations!R9*Calculations!O10*Q10))</f>
        <v>4871049.2285292344</v>
      </c>
      <c r="S10" s="46">
        <f t="shared" si="0"/>
        <v>1</v>
      </c>
      <c r="T10" s="31">
        <f t="shared" si="5"/>
        <v>4871.0492285292348</v>
      </c>
      <c r="U10" s="32">
        <f>T10/(1+Real_Discount_Rate)^(Calculations!M10-'Assumed Values'!$C$5)</f>
        <v>3245.785775257878</v>
      </c>
    </row>
    <row r="11" spans="1:21" ht="15.6">
      <c r="A11" s="40" t="s">
        <v>107</v>
      </c>
      <c r="B11" s="119">
        <f>(_2045_Peak_Period_Volume/'Inputs &amp; Outputs'!$C$27)^(1/(2045-2018))-1</f>
        <v>1.3712603303726034E-2</v>
      </c>
      <c r="D11" s="40" t="s">
        <v>108</v>
      </c>
      <c r="E11" s="120">
        <f>IF('Inputs &amp; Outputs'!$C$8='CRASH RATES'!$D$3, VLOOKUP('Inputs &amp; Outputs'!$C$7,'CRASH RATES'!$C$14:$J$21,5,FALSE), VLOOKUP('Inputs &amp; Outputs'!$C$7,'CRASH RATES'!$C$28:$J$35,5,FALSE))</f>
        <v>51.329635925899773</v>
      </c>
      <c r="F11" s="86"/>
      <c r="L11" s="107"/>
      <c r="M11" s="11">
        <f t="shared" si="1"/>
        <v>2025</v>
      </c>
      <c r="N11" s="113">
        <f t="shared" si="6"/>
        <v>22638.099671412914</v>
      </c>
      <c r="O11" s="114">
        <f t="shared" si="2"/>
        <v>2.8583679006643159E-2</v>
      </c>
      <c r="P11" s="115">
        <f t="shared" si="3"/>
        <v>0.34401099845334243</v>
      </c>
      <c r="Q11" s="116">
        <f t="shared" si="4"/>
        <v>1</v>
      </c>
      <c r="R11" s="31">
        <f>IF(M11=Year_Open_to_Traffic?,Calculations!$J$5,Calculations!R10+(Calculations!R10*Calculations!O11*Q11))</f>
        <v>5010281.7361030709</v>
      </c>
      <c r="S11" s="46">
        <f t="shared" si="0"/>
        <v>1</v>
      </c>
      <c r="T11" s="31">
        <f t="shared" si="5"/>
        <v>5010.2817361030711</v>
      </c>
      <c r="U11" s="32">
        <f>T11/(1+Real_Discount_Rate)^(Calculations!M11-'Assumed Values'!$C$5)</f>
        <v>3120.1516579272684</v>
      </c>
    </row>
    <row r="12" spans="1:21" ht="15.6">
      <c r="A12" s="40" t="s">
        <v>109</v>
      </c>
      <c r="B12" s="121">
        <f>'Inputs &amp; Outputs'!C27/_2018_Peak_Period_Capacity</f>
        <v>0.4603877185118781</v>
      </c>
      <c r="D12" s="40" t="s">
        <v>110</v>
      </c>
      <c r="E12" s="120">
        <f>IF('Inputs &amp; Outputs'!$C$8='CRASH RATES'!$D$3, VLOOKUP('Inputs &amp; Outputs'!$C$7,'CRASH RATES'!$C$14:$J$21,6,FALSE), VLOOKUP('Inputs &amp; Outputs'!$C$7,'CRASH RATES'!$C$28:$J$35,6,FALSE))</f>
        <v>102.91464317481397</v>
      </c>
      <c r="F12" s="86"/>
      <c r="L12" s="107"/>
      <c r="M12" s="108">
        <f t="shared" si="1"/>
        <v>2026</v>
      </c>
      <c r="N12" s="113">
        <f t="shared" si="6"/>
        <v>22831.851954240221</v>
      </c>
      <c r="O12" s="114">
        <f t="shared" ref="O12:O36" si="7">IFERROR(_2025_2045_Demand_Growth,_2018_2045_Demand_Growth)</f>
        <v>8.5586814105238496E-3</v>
      </c>
      <c r="P12" s="115">
        <f t="shared" ref="P12:P36" si="8">P11*(1+IFERROR(_2025_2040_V_C_Growth,_2018_2045_V_C_Growth))</f>
        <v>0.34695527899082079</v>
      </c>
      <c r="Q12" s="116">
        <f t="shared" si="4"/>
        <v>1</v>
      </c>
      <c r="R12" s="31">
        <f>IF(M12=Year_Open_to_Traffic?,Calculations!$J$5,Calculations!R11+(Calculations!R11*Calculations!O12*Q12))</f>
        <v>5053163.1412593434</v>
      </c>
      <c r="S12" s="46">
        <f t="shared" si="0"/>
        <v>1</v>
      </c>
      <c r="T12" s="31">
        <f t="shared" si="5"/>
        <v>5053.1631412593433</v>
      </c>
      <c r="U12" s="32">
        <f>T12/(1+Real_Discount_Rate)^(Calculations!M12-'Assumed Values'!$C$5)</f>
        <v>2940.9869550654071</v>
      </c>
    </row>
    <row r="13" spans="1:21" ht="15.6">
      <c r="A13" s="40" t="s">
        <v>111</v>
      </c>
      <c r="B13" s="121">
        <f>_2025_Peak_Period_Volume/_2025_Peak_Period_Capacity</f>
        <v>0.34401099845334249</v>
      </c>
      <c r="D13" s="40" t="s">
        <v>112</v>
      </c>
      <c r="E13" s="120">
        <f>IF('Inputs &amp; Outputs'!$C$8='CRASH RATES'!$D$3, VLOOKUP('Inputs &amp; Outputs'!$C$7,'CRASH RATES'!$C$14:$J$21,7,FALSE), VLOOKUP('Inputs &amp; Outputs'!$C$7,'CRASH RATES'!$C$28:$J$35,7,FALSE))</f>
        <v>1117.0792906394406</v>
      </c>
      <c r="F13" s="86"/>
      <c r="L13" s="107"/>
      <c r="M13" s="11">
        <f t="shared" si="1"/>
        <v>2027</v>
      </c>
      <c r="N13" s="113">
        <f t="shared" si="6"/>
        <v>23027.262501128811</v>
      </c>
      <c r="O13" s="114">
        <f t="shared" si="7"/>
        <v>8.5586814105238496E-3</v>
      </c>
      <c r="P13" s="115">
        <f t="shared" si="8"/>
        <v>0.34992475868740264</v>
      </c>
      <c r="Q13" s="116">
        <f t="shared" si="4"/>
        <v>1</v>
      </c>
      <c r="R13" s="31">
        <f>IF(M13=Year_Open_to_Traffic?,Calculations!$J$5,Calculations!R12+(Calculations!R12*Calculations!O13*Q13))</f>
        <v>5096411.5547007844</v>
      </c>
      <c r="S13" s="46">
        <f t="shared" si="0"/>
        <v>1</v>
      </c>
      <c r="T13" s="31">
        <f t="shared" si="5"/>
        <v>5096.4115547007841</v>
      </c>
      <c r="U13" s="32">
        <f>T13/(1+Real_Discount_Rate)^(Calculations!M13-'Assumed Values'!$C$5)</f>
        <v>2772.110210697494</v>
      </c>
    </row>
    <row r="14" spans="1:21" ht="15.6">
      <c r="A14" s="40" t="s">
        <v>113</v>
      </c>
      <c r="B14" s="121">
        <f>_2045_Peak_Period_Volume/_2045_Peak_Period_Capacity</f>
        <v>0.40793950850661626</v>
      </c>
      <c r="D14" s="40" t="s">
        <v>114</v>
      </c>
      <c r="E14" s="120">
        <f>IF('Inputs &amp; Outputs'!$C$8='CRASH RATES'!$D$3, VLOOKUP('Inputs &amp; Outputs'!$C$7,'CRASH RATES'!$C$14:$J$21,8,FALSE), VLOOKUP('Inputs &amp; Outputs'!$C$7,'CRASH RATES'!$C$28:$J$35,8,FALSE))</f>
        <v>47.924684952374079</v>
      </c>
      <c r="F14" s="86"/>
      <c r="L14" s="107"/>
      <c r="M14" s="108">
        <f>M13+1</f>
        <v>2028</v>
      </c>
      <c r="N14" s="113">
        <f t="shared" si="6"/>
        <v>23224.345504632474</v>
      </c>
      <c r="O14" s="114">
        <f t="shared" si="7"/>
        <v>8.5586814105238496E-3</v>
      </c>
      <c r="P14" s="115">
        <f>P13*(1+IFERROR(_2025_2040_V_C_Growth,_2018_2045_V_C_Growth))</f>
        <v>0.35291965321466257</v>
      </c>
      <c r="Q14" s="116">
        <f t="shared" si="4"/>
        <v>1</v>
      </c>
      <c r="R14" s="31">
        <f>IF(M14=Year_Open_to_Traffic?,Calculations!$J$5,Calculations!R13+(Calculations!R13*Calculations!O14*Q14))</f>
        <v>5140030.1175343813</v>
      </c>
      <c r="S14" s="46">
        <f t="shared" si="0"/>
        <v>1</v>
      </c>
      <c r="T14" s="31">
        <f t="shared" si="5"/>
        <v>5140.0301175343811</v>
      </c>
      <c r="U14" s="32">
        <f>T14/(1+Real_Discount_Rate)^(Calculations!M14-'Assumed Values'!$C$5)</f>
        <v>2612.9306717997329</v>
      </c>
    </row>
    <row r="15" spans="1:21" ht="15.6">
      <c r="A15" s="40" t="s">
        <v>115</v>
      </c>
      <c r="B15" s="119">
        <f>(B13/B12)^(1/(2025-2018))-1</f>
        <v>-4.0773367416066852E-2</v>
      </c>
      <c r="L15" s="107"/>
      <c r="M15" s="11">
        <f>M14+1</f>
        <v>2029</v>
      </c>
      <c r="N15" s="113">
        <f t="shared" si="6"/>
        <v>23423.115278774556</v>
      </c>
      <c r="O15" s="114">
        <f t="shared" si="7"/>
        <v>8.5586814105238496E-3</v>
      </c>
      <c r="P15" s="115">
        <f>P14*(1+IFERROR(_2025_2040_V_C_Growth,_2018_2045_V_C_Growth))</f>
        <v>0.35594018009003942</v>
      </c>
      <c r="Q15" s="116">
        <f t="shared" si="4"/>
        <v>1</v>
      </c>
      <c r="R15" s="31">
        <f>IF(M15=Year_Open_to_Traffic?,Calculations!$J$5,Calculations!R14+(Calculations!R14*Calculations!O15*Q15))</f>
        <v>5184021.997750856</v>
      </c>
      <c r="S15" s="46">
        <f t="shared" si="0"/>
        <v>1</v>
      </c>
      <c r="T15" s="31">
        <f t="shared" si="5"/>
        <v>5184.0219977508559</v>
      </c>
      <c r="U15" s="32">
        <f>T15/(1+Real_Discount_Rate)^(Calculations!M15-'Assumed Values'!$C$5)</f>
        <v>2462.8915074462175</v>
      </c>
    </row>
    <row r="16" spans="1:21" ht="15.6">
      <c r="A16" s="40" t="s">
        <v>116</v>
      </c>
      <c r="B16" s="119">
        <f>(B14/B13)^(1/(2045-2025))-1</f>
        <v>8.5586814105238496E-3</v>
      </c>
      <c r="D16" s="122" t="s">
        <v>117</v>
      </c>
      <c r="E16" s="58"/>
      <c r="L16" s="107"/>
      <c r="M16" s="108">
        <f t="shared" si="1"/>
        <v>2030</v>
      </c>
      <c r="N16" s="113">
        <f t="shared" si="6"/>
        <v>23623.586260087563</v>
      </c>
      <c r="O16" s="114">
        <f t="shared" si="7"/>
        <v>8.5586814105238496E-3</v>
      </c>
      <c r="P16" s="115">
        <f t="shared" si="8"/>
        <v>0.35898655869263457</v>
      </c>
      <c r="Q16" s="116">
        <f t="shared" si="4"/>
        <v>1</v>
      </c>
      <c r="R16" s="31">
        <f>IF(M16=Year_Open_to_Traffic?,Calculations!$J$5,Calculations!R15+(Calculations!R15*Calculations!O16*Q16))</f>
        <v>5228390.3904547533</v>
      </c>
      <c r="S16" s="46">
        <f t="shared" si="0"/>
        <v>1</v>
      </c>
      <c r="T16" s="31">
        <f t="shared" si="5"/>
        <v>5228.3903904547533</v>
      </c>
      <c r="U16" s="32">
        <f>T16/(1+Real_Discount_Rate)^(Calculations!M16-'Assumed Values'!$C$5)</f>
        <v>2321.4678609412481</v>
      </c>
    </row>
    <row r="17" spans="1:21" ht="15.6">
      <c r="A17" s="40" t="s">
        <v>118</v>
      </c>
      <c r="B17" s="119">
        <f>(B14/B12)^(1/(2045-2018))-1</f>
        <v>-4.4696147728430224E-3</v>
      </c>
      <c r="D17" s="40" t="s">
        <v>119</v>
      </c>
      <c r="E17" s="123">
        <f>($E$6*Death_Rate)/100000000</f>
        <v>0.28486029681434577</v>
      </c>
      <c r="L17" s="107"/>
      <c r="M17" s="11">
        <f t="shared" si="1"/>
        <v>2031</v>
      </c>
      <c r="N17" s="113">
        <f t="shared" si="6"/>
        <v>23825.773008661679</v>
      </c>
      <c r="O17" s="114">
        <f t="shared" si="7"/>
        <v>8.5586814105238496E-3</v>
      </c>
      <c r="P17" s="115">
        <f t="shared" si="8"/>
        <v>0.36205901027914517</v>
      </c>
      <c r="Q17" s="116">
        <f t="shared" si="4"/>
        <v>1</v>
      </c>
      <c r="R17" s="31">
        <f>IF(M17=Year_Open_to_Traffic?,Calculations!$J$5,Calculations!R16+(Calculations!R16*Calculations!O17*Q17))</f>
        <v>5273138.5180965001</v>
      </c>
      <c r="S17" s="46">
        <f t="shared" si="0"/>
        <v>1</v>
      </c>
      <c r="T17" s="31">
        <f t="shared" si="5"/>
        <v>5273.1385180964999</v>
      </c>
      <c r="U17" s="32">
        <f>T17/(1+Real_Discount_Rate)^(Calculations!M17-'Assumed Values'!$C$5)</f>
        <v>2188.1650138016953</v>
      </c>
    </row>
    <row r="18" spans="1:21" ht="15.6">
      <c r="D18" s="40" t="s">
        <v>120</v>
      </c>
      <c r="E18" s="123">
        <f>($E$6*Incap_Injry_Rate)/100000000</f>
        <v>1.3824102639519722</v>
      </c>
      <c r="L18" s="107"/>
      <c r="M18" s="108">
        <f t="shared" si="1"/>
        <v>2032</v>
      </c>
      <c r="N18" s="113">
        <f t="shared" si="6"/>
        <v>24029.690209202272</v>
      </c>
      <c r="O18" s="114">
        <f t="shared" si="7"/>
        <v>8.5586814105238496E-3</v>
      </c>
      <c r="P18" s="115">
        <f t="shared" si="8"/>
        <v>0.36515775799993394</v>
      </c>
      <c r="Q18" s="116">
        <f t="shared" si="4"/>
        <v>1</v>
      </c>
      <c r="R18" s="31">
        <f>IF(M18=Year_Open_to_Traffic?,Calculations!$J$5,Calculations!R17+(Calculations!R17*Calculations!O18*Q18))</f>
        <v>5318269.63070645</v>
      </c>
      <c r="S18" s="46">
        <f t="shared" si="0"/>
        <v>1</v>
      </c>
      <c r="T18" s="31">
        <f t="shared" si="5"/>
        <v>5318.2696307064498</v>
      </c>
      <c r="U18" s="32">
        <f>T18/(1+Real_Discount_Rate)^(Calculations!M18-'Assumed Values'!$C$5)</f>
        <v>2062.5166551668026</v>
      </c>
    </row>
    <row r="19" spans="1:21" ht="15.6">
      <c r="D19" s="40" t="s">
        <v>121</v>
      </c>
      <c r="E19" s="123">
        <f>($E$6*Nonincap_Injry_Rate)/100000000</f>
        <v>5.0520811464426609</v>
      </c>
      <c r="L19" s="107"/>
      <c r="M19" s="11">
        <f t="shared" si="1"/>
        <v>2033</v>
      </c>
      <c r="N19" s="113">
        <f t="shared" si="6"/>
        <v>24235.352672096418</v>
      </c>
      <c r="O19" s="114">
        <f t="shared" si="7"/>
        <v>8.5586814105238496E-3</v>
      </c>
      <c r="P19" s="115">
        <f t="shared" si="8"/>
        <v>0.36828302691523657</v>
      </c>
      <c r="Q19" s="116">
        <f t="shared" si="4"/>
        <v>1</v>
      </c>
      <c r="R19" s="31">
        <f>IF(M19=Year_Open_to_Traffic?,Calculations!$J$5,Calculations!R18+(Calculations!R18*Calculations!O19*Q19))</f>
        <v>5363787.006130931</v>
      </c>
      <c r="S19" s="46">
        <f t="shared" si="0"/>
        <v>1</v>
      </c>
      <c r="T19" s="31">
        <f t="shared" si="5"/>
        <v>5363.7870061309313</v>
      </c>
      <c r="U19" s="32">
        <f>T19/(1+Real_Discount_Rate)^(Calculations!M19-'Assumed Values'!$C$5)</f>
        <v>1944.0832505815652</v>
      </c>
    </row>
    <row r="20" spans="1:21" ht="15.6">
      <c r="D20" s="40" t="s">
        <v>122</v>
      </c>
      <c r="E20" s="123">
        <f>($E$6*Poss_Injry_Rate/100000000)</f>
        <v>10.129297024957177</v>
      </c>
      <c r="L20" s="107"/>
      <c r="M20" s="108">
        <f t="shared" si="1"/>
        <v>2034</v>
      </c>
      <c r="N20" s="113">
        <f t="shared" si="6"/>
        <v>24442.775334488579</v>
      </c>
      <c r="O20" s="114">
        <f t="shared" si="7"/>
        <v>8.5586814105238496E-3</v>
      </c>
      <c r="P20" s="115">
        <f t="shared" si="8"/>
        <v>0.37143504401150745</v>
      </c>
      <c r="Q20" s="116">
        <f t="shared" si="4"/>
        <v>1</v>
      </c>
      <c r="R20" s="31">
        <f>IF(M20=Year_Open_to_Traffic?,Calculations!$J$5,Calculations!R19+(Calculations!R19*Calculations!O20*Q20))</f>
        <v>5409693.9502703128</v>
      </c>
      <c r="S20" s="46">
        <f t="shared" si="0"/>
        <v>1</v>
      </c>
      <c r="T20" s="31">
        <f t="shared" si="5"/>
        <v>5409.6939502703126</v>
      </c>
      <c r="U20" s="32">
        <f>T20/(1+Real_Discount_Rate)^(Calculations!M20-'Assumed Values'!$C$5)</f>
        <v>1832.4505044475031</v>
      </c>
    </row>
    <row r="21" spans="1:21" ht="15.6">
      <c r="D21" s="40" t="s">
        <v>123</v>
      </c>
      <c r="E21" s="123">
        <f>($E$6*Non_Injry_Rate)/100000000</f>
        <v>109.94769632631349</v>
      </c>
      <c r="L21" s="107"/>
      <c r="M21" s="11">
        <f>M20+1</f>
        <v>2035</v>
      </c>
      <c r="N21" s="113">
        <f t="shared" si="6"/>
        <v>24651.973261365478</v>
      </c>
      <c r="O21" s="114">
        <f t="shared" si="7"/>
        <v>8.5586814105238496E-3</v>
      </c>
      <c r="P21" s="115">
        <f>P20*(1+IFERROR(_2025_2040_V_C_Growth,_2018_2045_V_C_Growth))</f>
        <v>0.37461403821790584</v>
      </c>
      <c r="Q21" s="116">
        <f t="shared" si="4"/>
        <v>1</v>
      </c>
      <c r="R21" s="31">
        <f>IF(M21=Year_Open_to_Traffic?,Calculations!$J$5,Calculations!R20+(Calculations!R20*Calculations!O21*Q21))</f>
        <v>5455993.7973191151</v>
      </c>
      <c r="S21" s="46">
        <f t="shared" si="0"/>
        <v>1</v>
      </c>
      <c r="T21" s="31">
        <f t="shared" si="5"/>
        <v>5455.9937973191154</v>
      </c>
      <c r="U21" s="32">
        <f>T21/(1+Real_Discount_Rate)^(Calculations!M21-'Assumed Values'!$C$5)</f>
        <v>1727.2279107622646</v>
      </c>
    </row>
    <row r="22" spans="1:21" ht="15.6">
      <c r="D22" s="40" t="s">
        <v>124</v>
      </c>
      <c r="E22" s="123">
        <f>($E$6*Unkn_Injry_Rate)/100000000</f>
        <v>4.7169513854846068</v>
      </c>
      <c r="L22" s="107"/>
      <c r="M22" s="108">
        <f>M21+1</f>
        <v>2036</v>
      </c>
      <c r="N22" s="113">
        <f t="shared" si="6"/>
        <v>24862.961646650256</v>
      </c>
      <c r="O22" s="114">
        <f t="shared" si="7"/>
        <v>8.5586814105238496E-3</v>
      </c>
      <c r="P22" s="115">
        <f t="shared" si="8"/>
        <v>0.37782024042292273</v>
      </c>
      <c r="Q22" s="116">
        <f t="shared" si="4"/>
        <v>1</v>
      </c>
      <c r="R22" s="31">
        <f>IF(M22=Year_Open_to_Traffic?,Calculations!$J$5,Calculations!R21+(Calculations!R21*Calculations!O22*Q22))</f>
        <v>5502689.9100081641</v>
      </c>
      <c r="S22" s="46">
        <f t="shared" si="0"/>
        <v>1</v>
      </c>
      <c r="T22" s="31">
        <f t="shared" si="5"/>
        <v>5502.6899100081637</v>
      </c>
      <c r="U22" s="32">
        <f>T22/(1+Real_Discount_Rate)^(Calculations!M22-'Assumed Values'!$C$5)</f>
        <v>1628.0473870783585</v>
      </c>
    </row>
    <row r="23" spans="1:21" ht="15.6">
      <c r="L23" s="107"/>
      <c r="M23" s="11">
        <f t="shared" si="1"/>
        <v>2037</v>
      </c>
      <c r="N23" s="113">
        <f t="shared" si="6"/>
        <v>25075.755814306009</v>
      </c>
      <c r="O23" s="114">
        <f t="shared" si="7"/>
        <v>8.5586814105238496E-3</v>
      </c>
      <c r="P23" s="115">
        <f t="shared" si="8"/>
        <v>0.38105388349115005</v>
      </c>
      <c r="Q23" s="116">
        <f t="shared" si="4"/>
        <v>1</v>
      </c>
      <c r="R23" s="31">
        <f>IF(M23=Year_Open_to_Traffic?,Calculations!$J$5,Calculations!R22+(Calculations!R22*Calculations!O23*Q23))</f>
        <v>5549785.6798488284</v>
      </c>
      <c r="S23" s="46">
        <f t="shared" si="0"/>
        <v>1</v>
      </c>
      <c r="T23" s="31">
        <f t="shared" si="5"/>
        <v>5549.7856798488283</v>
      </c>
      <c r="U23" s="32">
        <f>T23/(1+Real_Discount_Rate)^(Calculations!M23-'Assumed Values'!$C$5)</f>
        <v>1534.5619869024281</v>
      </c>
    </row>
    <row r="24" spans="1:21" ht="15.6">
      <c r="L24" s="107"/>
      <c r="M24" s="108">
        <f t="shared" si="1"/>
        <v>2038</v>
      </c>
      <c r="N24" s="113">
        <f t="shared" si="6"/>
        <v>25290.371219448745</v>
      </c>
      <c r="O24" s="114">
        <f t="shared" si="7"/>
        <v>8.5586814105238496E-3</v>
      </c>
      <c r="P24" s="115">
        <f t="shared" si="8"/>
        <v>0.38431520228019367</v>
      </c>
      <c r="Q24" s="116">
        <f t="shared" si="4"/>
        <v>1</v>
      </c>
      <c r="R24" s="31">
        <f>IF(M24=Year_Open_to_Traffic?,Calculations!$J$5,Calculations!R23+(Calculations!R23*Calculations!O24*Q24))</f>
        <v>5597284.5273793424</v>
      </c>
      <c r="S24" s="46">
        <f t="shared" si="0"/>
        <v>1</v>
      </c>
      <c r="T24" s="31">
        <f t="shared" si="5"/>
        <v>5597.2845273793428</v>
      </c>
      <c r="U24" s="32">
        <f>T24/(1+Real_Discount_Rate)^(Calculations!M24-'Assumed Values'!$C$5)</f>
        <v>1446.444686030866</v>
      </c>
    </row>
    <row r="25" spans="1:21" ht="15.6">
      <c r="A25" s="136" t="s">
        <v>125</v>
      </c>
      <c r="B25" s="136"/>
      <c r="D25" s="102" t="s">
        <v>119</v>
      </c>
      <c r="E25" s="102" t="s">
        <v>120</v>
      </c>
      <c r="F25" s="102" t="s">
        <v>121</v>
      </c>
      <c r="G25" s="102" t="s">
        <v>122</v>
      </c>
      <c r="H25" s="102" t="s">
        <v>123</v>
      </c>
      <c r="I25" s="102" t="s">
        <v>124</v>
      </c>
      <c r="J25" s="137" t="s">
        <v>126</v>
      </c>
      <c r="L25" s="107"/>
      <c r="M25" s="11">
        <f t="shared" si="1"/>
        <v>2039</v>
      </c>
      <c r="N25" s="113">
        <f t="shared" si="6"/>
        <v>25506.823449469888</v>
      </c>
      <c r="O25" s="114">
        <f t="shared" si="7"/>
        <v>8.5586814105238496E-3</v>
      </c>
      <c r="P25" s="115">
        <f t="shared" si="8"/>
        <v>0.3876044336577309</v>
      </c>
      <c r="Q25" s="116">
        <f t="shared" si="4"/>
        <v>1</v>
      </c>
      <c r="R25" s="31">
        <f>IF(M25=Year_Open_to_Traffic?,Calculations!$J$5,Calculations!R24+(Calculations!R24*Calculations!O25*Q25))</f>
        <v>5645189.9024132369</v>
      </c>
      <c r="S25" s="46">
        <f t="shared" si="0"/>
        <v>1</v>
      </c>
      <c r="T25" s="31">
        <f t="shared" si="5"/>
        <v>5645.1899024132372</v>
      </c>
      <c r="U25" s="32">
        <f>T25/(1+Real_Discount_Rate)^(Calculations!M25-'Assumed Values'!$C$5)</f>
        <v>1363.3872385762145</v>
      </c>
    </row>
    <row r="26" spans="1:21" ht="15.6">
      <c r="A26" s="136"/>
      <c r="B26" s="136"/>
      <c r="D26" s="124">
        <f>Calculations!E17</f>
        <v>0.28486029681434577</v>
      </c>
      <c r="E26" s="124">
        <f>Calculations!E18</f>
        <v>1.3824102639519722</v>
      </c>
      <c r="F26" s="124">
        <f>Calculations!E19</f>
        <v>5.0520811464426609</v>
      </c>
      <c r="G26" s="124">
        <f>Calculations!E20</f>
        <v>10.129297024957177</v>
      </c>
      <c r="H26" s="124">
        <f>Calculations!E21</f>
        <v>109.94769632631349</v>
      </c>
      <c r="I26" s="124">
        <f>Calculations!E22</f>
        <v>4.7169513854846068</v>
      </c>
      <c r="J26" s="137"/>
      <c r="L26" s="107"/>
      <c r="M26" s="108">
        <f t="shared" si="1"/>
        <v>2040</v>
      </c>
      <c r="N26" s="113">
        <f t="shared" si="6"/>
        <v>25725.128225168381</v>
      </c>
      <c r="O26" s="114">
        <f t="shared" si="7"/>
        <v>8.5586814105238496E-3</v>
      </c>
      <c r="P26" s="115">
        <f t="shared" si="8"/>
        <v>0.39092181651871394</v>
      </c>
      <c r="Q26" s="116">
        <f t="shared" si="4"/>
        <v>1</v>
      </c>
      <c r="R26" s="31">
        <f>IF(M26=Year_Open_to_Traffic?,Calculations!$J$5,Calculations!R25+(Calculations!R25*Calculations!O26*Q26))</f>
        <v>5693505.2842898984</v>
      </c>
      <c r="S26" s="46">
        <f t="shared" si="0"/>
        <v>1</v>
      </c>
      <c r="T26" s="31">
        <f t="shared" si="5"/>
        <v>5693.5052842898986</v>
      </c>
      <c r="U26" s="32">
        <f>T26/(1+Real_Discount_Rate)^(Calculations!M26-'Assumed Values'!$C$5)</f>
        <v>1285.0990986825816</v>
      </c>
    </row>
    <row r="27" spans="1:21" ht="15.6">
      <c r="A27" s="39" t="s">
        <v>127</v>
      </c>
      <c r="B27" s="40" t="s">
        <v>128</v>
      </c>
      <c r="D27" s="125">
        <f>D$26*'Value of Statistical Life'!D17*Appropriate_Crash_Reduction_Factor</f>
        <v>0</v>
      </c>
      <c r="E27" s="125">
        <f>E$26*'Value of Statistical Life'!E17*Appropriate_Crash_Reduction_Factor</f>
        <v>3.8010752617623426E-2</v>
      </c>
      <c r="F27" s="125">
        <f>F$26*'Value of Statistical Life'!F17*Appropriate_Crash_Reduction_Factor</f>
        <v>0.33735777063485517</v>
      </c>
      <c r="G27" s="125">
        <f>G$26*'Value of Statistical Life'!G17*Appropriate_Crash_Reduction_Factor</f>
        <v>1.8992026749913711</v>
      </c>
      <c r="H27" s="125">
        <f>H$26*'Value of Statistical Life'!H17*Appropriate_Crash_Reduction_Factor</f>
        <v>81.391201054872752</v>
      </c>
      <c r="I27" s="125">
        <f>I$26*'Value of Statistical Life'!I17*Appropriate_Crash_Reduction_Factor</f>
        <v>1.6481405496994055</v>
      </c>
      <c r="J27" s="125">
        <f t="shared" ref="J27:J33" si="9">SUM(D27:I27)</f>
        <v>85.313912802816006</v>
      </c>
      <c r="K27" s="70"/>
      <c r="L27" s="107"/>
      <c r="M27" s="11">
        <f t="shared" si="1"/>
        <v>2041</v>
      </c>
      <c r="N27" s="113">
        <f t="shared" si="6"/>
        <v>25945.301401892473</v>
      </c>
      <c r="O27" s="114">
        <f t="shared" si="7"/>
        <v>8.5586814105238496E-3</v>
      </c>
      <c r="P27" s="115">
        <f t="shared" si="8"/>
        <v>0.39426759180272086</v>
      </c>
      <c r="Q27" s="116">
        <f t="shared" si="4"/>
        <v>1</v>
      </c>
      <c r="R27" s="31">
        <f>IF(M27=Year_Open_to_Traffic?,Calculations!$J$5,Calculations!R26+(Calculations!R26*Calculations!O27*Q27))</f>
        <v>5742234.1821272699</v>
      </c>
      <c r="S27" s="46">
        <f t="shared" si="0"/>
        <v>1</v>
      </c>
      <c r="T27" s="31">
        <f t="shared" si="5"/>
        <v>5742.2341821272703</v>
      </c>
      <c r="U27" s="32">
        <f>T27/(1+Real_Discount_Rate)^(Calculations!M27-'Assumed Values'!$C$5)</f>
        <v>1211.3064041580908</v>
      </c>
    </row>
    <row r="28" spans="1:21" ht="15.6">
      <c r="A28" s="39" t="s">
        <v>129</v>
      </c>
      <c r="B28" s="40" t="s">
        <v>130</v>
      </c>
      <c r="D28" s="125">
        <f>D$26*'Value of Statistical Life'!D18*Appropriate_Crash_Reduction_Factor</f>
        <v>0</v>
      </c>
      <c r="E28" s="125">
        <f>E$26*'Value of Statistical Life'!E18*Appropriate_Crash_Reduction_Factor</f>
        <v>0.61322613380698332</v>
      </c>
      <c r="F28" s="125">
        <f>F$26*'Value of Statistical Life'!F18*Appropriate_Crash_Reduction_Factor</f>
        <v>3.1057365722887469</v>
      </c>
      <c r="G28" s="125">
        <f>G$26*'Value of Statistical Life'!G18*Appropriate_Crash_Reduction_Factor</f>
        <v>5.5869961014615797</v>
      </c>
      <c r="H28" s="125">
        <f>H$26*'Value of Statistical Life'!H18*Appropriate_Crash_Reduction_Factor</f>
        <v>6.3831234579204557</v>
      </c>
      <c r="I28" s="125">
        <f>I$26*'Value of Statistical Life'!I18*Appropriate_Crash_Reduction_Factor</f>
        <v>1.575046671029936</v>
      </c>
      <c r="J28" s="125">
        <f t="shared" si="9"/>
        <v>17.264128936507703</v>
      </c>
      <c r="K28" s="70"/>
      <c r="L28" s="107"/>
      <c r="M28" s="108">
        <f t="shared" si="1"/>
        <v>2042</v>
      </c>
      <c r="N28" s="113">
        <f t="shared" si="6"/>
        <v>26167.35897069129</v>
      </c>
      <c r="O28" s="114">
        <f t="shared" si="7"/>
        <v>8.5586814105238496E-3</v>
      </c>
      <c r="P28" s="115">
        <f t="shared" si="8"/>
        <v>0.39764200251145482</v>
      </c>
      <c r="Q28" s="116">
        <f t="shared" si="4"/>
        <v>1</v>
      </c>
      <c r="R28" s="31">
        <f>IF(M28=Year_Open_to_Traffic?,Calculations!$J$5,Calculations!R27+(Calculations!R27*Calculations!O28*Q28))</f>
        <v>5791380.1350767175</v>
      </c>
      <c r="S28" s="46">
        <f t="shared" si="0"/>
        <v>1</v>
      </c>
      <c r="T28" s="31">
        <f t="shared" si="5"/>
        <v>5791.3801350767171</v>
      </c>
      <c r="U28" s="32">
        <f>T28/(1+Real_Discount_Rate)^(Calculations!M28-'Assumed Values'!$C$5)</f>
        <v>1141.7510184689784</v>
      </c>
    </row>
    <row r="29" spans="1:21" ht="15.6">
      <c r="A29" s="39" t="s">
        <v>131</v>
      </c>
      <c r="B29" s="40" t="s">
        <v>132</v>
      </c>
      <c r="D29" s="125">
        <f>D$26*'Value of Statistical Life'!D19*Appropriate_Crash_Reduction_Factor</f>
        <v>0</v>
      </c>
      <c r="E29" s="125">
        <f>E$26*'Value of Statistical Life'!E19*Appropriate_Crash_Reduction_Factor</f>
        <v>0.23122747038966268</v>
      </c>
      <c r="F29" s="125">
        <f>F$26*'Value of Statistical Life'!F19*Appropriate_Crash_Reduction_Factor</f>
        <v>0.4404606426714569</v>
      </c>
      <c r="G29" s="125">
        <f>G$26*'Value of Statistical Life'!G19*Appropriate_Crash_Reduction_Factor</f>
        <v>0.51789069829201051</v>
      </c>
      <c r="H29" s="125">
        <f>H$26*'Value of Statistical Life'!H19*Appropriate_Crash_Reduction_Factor</f>
        <v>0.17415715098088058</v>
      </c>
      <c r="I29" s="125">
        <f>I$26*'Value of Statistical Life'!I19*Appropriate_Crash_Reduction_Factor</f>
        <v>0.33479034153615544</v>
      </c>
      <c r="J29" s="125">
        <f t="shared" si="9"/>
        <v>1.6985263038701661</v>
      </c>
      <c r="K29" s="70"/>
      <c r="L29" s="107"/>
      <c r="M29" s="11">
        <f t="shared" si="1"/>
        <v>2043</v>
      </c>
      <c r="N29" s="113">
        <f t="shared" si="6"/>
        <v>26391.317059476249</v>
      </c>
      <c r="O29" s="114">
        <f t="shared" si="7"/>
        <v>8.5586814105238496E-3</v>
      </c>
      <c r="P29" s="115">
        <f t="shared" si="8"/>
        <v>0.40104529372639308</v>
      </c>
      <c r="Q29" s="116">
        <f t="shared" si="4"/>
        <v>1</v>
      </c>
      <c r="R29" s="31">
        <f>IF(M29=Year_Open_to_Traffic?,Calculations!$J$5,Calculations!R28+(Calculations!R28*Calculations!O29*Q29))</f>
        <v>5840946.7125800755</v>
      </c>
      <c r="S29" s="46">
        <f t="shared" si="0"/>
        <v>1</v>
      </c>
      <c r="T29" s="31">
        <f t="shared" si="5"/>
        <v>5840.9467125800757</v>
      </c>
      <c r="U29" s="32">
        <f>T29/(1+Real_Discount_Rate)^(Calculations!M29-'Assumed Values'!$C$5)</f>
        <v>1076.1896277441081</v>
      </c>
    </row>
    <row r="30" spans="1:21" ht="15.6">
      <c r="A30" s="39" t="s">
        <v>133</v>
      </c>
      <c r="B30" s="40" t="s">
        <v>134</v>
      </c>
      <c r="D30" s="125">
        <f>D$26*'Value of Statistical Life'!D20*Appropriate_Crash_Reduction_Factor</f>
        <v>0</v>
      </c>
      <c r="E30" s="125">
        <f>E$26*'Value of Statistical Life'!E20*Appropriate_Crash_Reduction_Factor</f>
        <v>0.15966285584539699</v>
      </c>
      <c r="F30" s="125">
        <f>F$26*'Value of Statistical Life'!F20*Appropriate_Crash_Reduction_Factor</f>
        <v>0.12896952750638827</v>
      </c>
      <c r="G30" s="125">
        <f>G$26*'Value of Statistical Life'!G20*Appropriate_Crash_Reduction_Factor</f>
        <v>8.6787816909833101E-2</v>
      </c>
      <c r="H30" s="125">
        <f>H$26*'Value of Statistical Life'!H20*Appropriate_Crash_Reduction_Factor</f>
        <v>7.036652564884064E-3</v>
      </c>
      <c r="I30" s="125">
        <f>I$26*'Value of Statistical Life'!I20*Appropriate_Crash_Reduction_Factor</f>
        <v>0.18177243859103481</v>
      </c>
      <c r="J30" s="125">
        <f t="shared" si="9"/>
        <v>0.5642292914175373</v>
      </c>
      <c r="K30" s="70"/>
      <c r="L30" s="107"/>
      <c r="M30" s="11">
        <f t="shared" si="1"/>
        <v>2044</v>
      </c>
      <c r="N30" s="113">
        <f t="shared" si="6"/>
        <v>26617.191934192429</v>
      </c>
      <c r="O30" s="114">
        <f t="shared" si="7"/>
        <v>8.5586814105238496E-3</v>
      </c>
      <c r="P30" s="115">
        <f t="shared" si="8"/>
        <v>0.40447771262658722</v>
      </c>
      <c r="Q30" s="116">
        <f t="shared" si="4"/>
        <v>1</v>
      </c>
      <c r="R30" s="31">
        <f>IF(M30=Year_Open_to_Traffic?,Calculations!$J$5,Calculations!R29+(Calculations!R29*Calculations!O30*Q30))</f>
        <v>5890937.5146288946</v>
      </c>
      <c r="S30" s="46">
        <f t="shared" si="0"/>
        <v>1</v>
      </c>
      <c r="T30" s="31">
        <f t="shared" si="5"/>
        <v>5890.9375146288949</v>
      </c>
      <c r="U30" s="32">
        <f>T30/(1+Real_Discount_Rate)^(Calculations!M30-'Assumed Values'!$C$5)</f>
        <v>1014.3928896311029</v>
      </c>
    </row>
    <row r="31" spans="1:21" ht="15.6">
      <c r="A31" s="39" t="s">
        <v>135</v>
      </c>
      <c r="B31" s="40" t="s">
        <v>136</v>
      </c>
      <c r="D31" s="125">
        <f>D$26*'Value of Statistical Life'!D21*Appropriate_Crash_Reduction_Factor</f>
        <v>0</v>
      </c>
      <c r="E31" s="125">
        <f>E$26*'Value of Statistical Life'!E21*Appropriate_Crash_Reduction_Factor</f>
        <v>4.4082298496900492E-2</v>
      </c>
      <c r="F31" s="125">
        <f>F$26*'Value of Statistical Life'!F21*Appropriate_Crash_Reduction_Factor</f>
        <v>2.5058322486355603E-2</v>
      </c>
      <c r="G31" s="125">
        <f>G$26*'Value of Statistical Life'!G21*Appropriate_Crash_Reduction_Factor</f>
        <v>1.1506881420351354E-2</v>
      </c>
      <c r="H31" s="125">
        <f>H$26*'Value of Statistical Life'!H21*Appropriate_Crash_Reduction_Factor</f>
        <v>0</v>
      </c>
      <c r="I31" s="125">
        <f>I$26*'Value of Statistical Life'!I21*Appropriate_Crash_Reduction_Factor</f>
        <v>2.3282872038752022E-2</v>
      </c>
      <c r="J31" s="125">
        <f t="shared" si="9"/>
        <v>0.10393037444235949</v>
      </c>
      <c r="K31" s="70"/>
      <c r="L31" s="107"/>
      <c r="M31" s="11">
        <f t="shared" si="1"/>
        <v>2045</v>
      </c>
      <c r="N31" s="113">
        <f t="shared" si="6"/>
        <v>26844.999999999949</v>
      </c>
      <c r="O31" s="114">
        <f t="shared" si="7"/>
        <v>8.5586814105238496E-3</v>
      </c>
      <c r="P31" s="115">
        <f t="shared" si="8"/>
        <v>0.40793950850661559</v>
      </c>
      <c r="Q31" s="116">
        <f t="shared" si="4"/>
        <v>1</v>
      </c>
      <c r="R31" s="31">
        <f>IF(M31=Year_Open_to_Traffic?,Calculations!$J$5,Calculations!R30+(Calculations!R30*Calculations!O31*Q31))</f>
        <v>5941356.1720259069</v>
      </c>
      <c r="S31" s="46">
        <f t="shared" si="0"/>
        <v>1</v>
      </c>
      <c r="T31" s="31">
        <f t="shared" si="5"/>
        <v>5941.3561720259067</v>
      </c>
      <c r="U31" s="32">
        <f>T31/(1+Real_Discount_Rate)^(Calculations!M31-'Assumed Values'!$C$5)</f>
        <v>956.14463102668788</v>
      </c>
    </row>
    <row r="32" spans="1:21" ht="15.6">
      <c r="A32" s="39" t="s">
        <v>137</v>
      </c>
      <c r="B32" s="40" t="s">
        <v>138</v>
      </c>
      <c r="D32" s="125">
        <f>D$26*'Value of Statistical Life'!D22*Appropriate_Crash_Reduction_Factor</f>
        <v>0</v>
      </c>
      <c r="E32" s="125">
        <f>E$26*'Value of Statistical Life'!E22*Appropriate_Crash_Reduction_Factor</f>
        <v>1.9718700005010931E-2</v>
      </c>
      <c r="F32" s="125">
        <f>F$26*'Value of Statistical Life'!F22*Appropriate_Crash_Reduction_Factor</f>
        <v>4.0820815663256708E-3</v>
      </c>
      <c r="G32" s="125">
        <f>G$26*'Value of Statistical Life'!G22*Appropriate_Crash_Reduction_Factor</f>
        <v>1.0534468905955463E-3</v>
      </c>
      <c r="H32" s="125">
        <f>H$26*'Value of Statistical Life'!H22*Appropriate_Crash_Reduction_Factor</f>
        <v>2.638744711831524E-3</v>
      </c>
      <c r="I32" s="125">
        <f>I$26*'Value of Statistical Life'!I22*Appropriate_Crash_Reduction_Factor</f>
        <v>1.0528235492401644E-2</v>
      </c>
      <c r="J32" s="125">
        <f t="shared" si="9"/>
        <v>3.8021208666165318E-2</v>
      </c>
      <c r="K32" s="70"/>
      <c r="L32" s="107"/>
      <c r="M32" s="11">
        <f t="shared" si="1"/>
        <v>2046</v>
      </c>
      <c r="N32" s="113">
        <f t="shared" si="6"/>
        <v>27074.757802465461</v>
      </c>
      <c r="O32" s="114">
        <f t="shared" si="7"/>
        <v>8.5586814105238496E-3</v>
      </c>
      <c r="P32" s="115">
        <f t="shared" si="8"/>
        <v>0.4114309327946894</v>
      </c>
      <c r="Q32" s="116">
        <f t="shared" si="4"/>
        <v>1</v>
      </c>
      <c r="R32" s="31">
        <f>IF(M32=Year_Open_to_Traffic?,Calculations!$J$5,Calculations!R31+(Calculations!R31*Calculations!O32*Q32))</f>
        <v>5992206.3466487257</v>
      </c>
      <c r="S32" s="46">
        <f t="shared" si="0"/>
        <v>1</v>
      </c>
      <c r="T32" s="31">
        <f t="shared" si="5"/>
        <v>5992.2063466487252</v>
      </c>
      <c r="U32" s="32">
        <f>T32/(1+Real_Discount_Rate)^(Calculations!M32-'Assumed Values'!$C$5)</f>
        <v>901.24109187479269</v>
      </c>
    </row>
    <row r="33" spans="1:21" ht="15.6">
      <c r="A33" s="39" t="s">
        <v>139</v>
      </c>
      <c r="B33" s="40" t="s">
        <v>140</v>
      </c>
      <c r="D33" s="125">
        <f>D$26*'Value of Statistical Life'!D23*Appropriate_Crash_Reduction_Factor</f>
        <v>0.22788823745147663</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0.22788823745147663</v>
      </c>
      <c r="K33" s="70"/>
      <c r="L33" s="107"/>
      <c r="M33" s="11">
        <f t="shared" si="1"/>
        <v>2047</v>
      </c>
      <c r="N33" s="113">
        <f t="shared" si="6"/>
        <v>27306.482028763858</v>
      </c>
      <c r="O33" s="114">
        <f t="shared" si="7"/>
        <v>8.5586814105238496E-3</v>
      </c>
      <c r="P33" s="115">
        <f t="shared" si="8"/>
        <v>0.41495223907091378</v>
      </c>
      <c r="Q33" s="116">
        <f t="shared" si="4"/>
        <v>1</v>
      </c>
      <c r="R33" s="31">
        <f>IF(M33=Year_Open_to_Traffic?,Calculations!$J$5,Calculations!R32+(Calculations!R32*Calculations!O33*Q33))</f>
        <v>6043491.7317158114</v>
      </c>
      <c r="S33" s="46">
        <f t="shared" si="0"/>
        <v>1</v>
      </c>
      <c r="T33" s="31">
        <f t="shared" si="5"/>
        <v>6043.4917317158115</v>
      </c>
      <c r="U33" s="32">
        <f>T33/(1+Real_Discount_Rate)^(Calculations!M33-'Assumed Values'!$C$5)</f>
        <v>849.49021238712317</v>
      </c>
    </row>
    <row r="34" spans="1:21" ht="15.6">
      <c r="J34" s="126"/>
      <c r="L34" s="107"/>
      <c r="M34" s="11">
        <f t="shared" si="1"/>
        <v>2048</v>
      </c>
      <c r="N34" s="113">
        <f t="shared" si="6"/>
        <v>27540.189508890242</v>
      </c>
      <c r="O34" s="114">
        <f t="shared" si="7"/>
        <v>8.5586814105238496E-3</v>
      </c>
      <c r="P34" s="115">
        <f t="shared" si="8"/>
        <v>0.41850368308570524</v>
      </c>
      <c r="Q34" s="116">
        <f t="shared" si="4"/>
        <v>1</v>
      </c>
      <c r="R34" s="31">
        <f>IF(M34=Year_Open_to_Traffic?,Calculations!$J$5,Calculations!R33+(Calculations!R33*Calculations!O34*Q34))</f>
        <v>6095216.0520547023</v>
      </c>
      <c r="S34" s="46">
        <f t="shared" si="0"/>
        <v>1</v>
      </c>
      <c r="T34" s="31">
        <f t="shared" si="5"/>
        <v>6095.2160520547022</v>
      </c>
      <c r="U34" s="32">
        <f>T34/(1+Real_Discount_Rate)^(Calculations!M34-'Assumed Values'!$C$5)</f>
        <v>800.71096119280639</v>
      </c>
    </row>
    <row r="35" spans="1:21" ht="15.6">
      <c r="G35" s="42"/>
      <c r="H35" s="42"/>
      <c r="L35" s="107"/>
      <c r="M35" s="11">
        <f t="shared" si="1"/>
        <v>2049</v>
      </c>
      <c r="N35" s="113">
        <f t="shared" si="6"/>
        <v>27775.897216882284</v>
      </c>
      <c r="O35" s="114">
        <f t="shared" si="7"/>
        <v>8.5586814105238496E-3</v>
      </c>
      <c r="P35" s="115">
        <f t="shared" si="8"/>
        <v>0.42208552277836664</v>
      </c>
      <c r="Q35" s="116">
        <f t="shared" si="4"/>
        <v>1</v>
      </c>
      <c r="R35" s="31">
        <f>IF(M35=Year_Open_to_Traffic?,Calculations!$J$5,Calculations!R34+(Calculations!R34*Calculations!O35*Q35))</f>
        <v>6147383.0643725498</v>
      </c>
      <c r="S35" s="46">
        <f t="shared" si="0"/>
        <v>1</v>
      </c>
      <c r="T35" s="31">
        <f t="shared" si="5"/>
        <v>6147.3830643725496</v>
      </c>
      <c r="U35" s="32">
        <f>T35/(1+Real_Discount_Rate)^(Calculations!M35-'Assumed Values'!$C$5)</f>
        <v>754.73270206688767</v>
      </c>
    </row>
    <row r="36" spans="1:21" ht="15.6">
      <c r="G36" s="42"/>
      <c r="H36" s="42"/>
      <c r="L36" s="107"/>
      <c r="M36" s="11">
        <f t="shared" si="1"/>
        <v>2050</v>
      </c>
      <c r="N36" s="113">
        <f t="shared" si="6"/>
        <v>28013.622272053035</v>
      </c>
      <c r="O36" s="114">
        <f t="shared" si="7"/>
        <v>8.5586814105238496E-3</v>
      </c>
      <c r="P36" s="115">
        <f t="shared" si="8"/>
        <v>0.4256980182958211</v>
      </c>
      <c r="Q36" s="116">
        <f t="shared" si="4"/>
        <v>1</v>
      </c>
      <c r="R36" s="31">
        <f>IF(M36=Year_Open_to_Traffic?,Calculations!$J$5,Calculations!R35+(Calculations!R35*Calculations!O36*Q36))</f>
        <v>6199996.5575289642</v>
      </c>
      <c r="S36" s="46">
        <f t="shared" si="0"/>
        <v>1</v>
      </c>
      <c r="T36" s="31">
        <f t="shared" si="5"/>
        <v>6199.9965575289643</v>
      </c>
      <c r="U36" s="32">
        <f>T36/(1+Real_Discount_Rate)^(Calculations!M36-'Assumed Values'!$C$5)</f>
        <v>711.39459702241322</v>
      </c>
    </row>
    <row r="37" spans="1:21">
      <c r="M37" s="40"/>
      <c r="N37" s="40"/>
      <c r="O37" s="119"/>
      <c r="P37" s="121"/>
      <c r="Q37" s="40"/>
      <c r="R37" s="40"/>
      <c r="S37" s="40"/>
      <c r="T37" s="40"/>
      <c r="U37" s="32">
        <f>SUM(U4:U36)</f>
        <v>45905.662506738518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40" t="s">
        <v>147</v>
      </c>
      <c r="C12" s="141"/>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2"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161</v>
      </c>
      <c r="D3" t="s">
        <v>162</v>
      </c>
      <c r="G3" s="40" t="s">
        <v>163</v>
      </c>
      <c r="H3" s="128" t="s">
        <v>164</v>
      </c>
      <c r="Q3" s="87"/>
      <c r="R3" s="86"/>
      <c r="S3" s="86"/>
      <c r="T3" s="86"/>
      <c r="U3" s="86"/>
      <c r="V3" s="86"/>
      <c r="W3" s="86"/>
      <c r="X3" s="86"/>
    </row>
    <row r="4" spans="3:24">
      <c r="C4" t="s">
        <v>165</v>
      </c>
      <c r="D4" t="s">
        <v>53</v>
      </c>
      <c r="G4" s="40" t="s">
        <v>166</v>
      </c>
      <c r="H4" s="128" t="s">
        <v>167</v>
      </c>
      <c r="Q4" s="87"/>
      <c r="R4" s="86"/>
      <c r="S4" s="86"/>
      <c r="T4" s="86"/>
      <c r="U4" s="86"/>
      <c r="V4" s="86"/>
      <c r="W4" s="86"/>
      <c r="X4" s="86"/>
    </row>
    <row r="5" spans="3:24">
      <c r="C5" t="s">
        <v>168</v>
      </c>
      <c r="G5" s="40" t="s">
        <v>169</v>
      </c>
      <c r="H5" s="128" t="s">
        <v>170</v>
      </c>
      <c r="Q5" s="87"/>
      <c r="R5" s="86"/>
      <c r="S5" s="86"/>
      <c r="T5" s="86"/>
      <c r="U5" s="86"/>
      <c r="V5" s="86"/>
      <c r="W5" s="86"/>
      <c r="X5" s="86"/>
    </row>
    <row r="6" spans="3:24">
      <c r="C6" t="s">
        <v>50</v>
      </c>
      <c r="G6" s="40" t="s">
        <v>171</v>
      </c>
      <c r="H6" s="128" t="s">
        <v>172</v>
      </c>
      <c r="Q6" s="87"/>
      <c r="R6" s="86"/>
      <c r="S6" s="86"/>
      <c r="T6" s="86"/>
      <c r="U6" s="86"/>
      <c r="V6" s="86"/>
      <c r="W6" s="86"/>
      <c r="X6" s="86"/>
    </row>
    <row r="7" spans="3:24">
      <c r="C7" t="s">
        <v>173</v>
      </c>
      <c r="G7" s="40" t="s">
        <v>174</v>
      </c>
      <c r="H7" s="128" t="s">
        <v>175</v>
      </c>
      <c r="Q7" s="87"/>
      <c r="R7" s="86"/>
      <c r="S7" s="86"/>
      <c r="T7" s="86"/>
      <c r="U7" s="86"/>
      <c r="V7" s="86"/>
      <c r="W7" s="86"/>
      <c r="X7" s="86"/>
    </row>
    <row r="8" spans="3:24">
      <c r="C8" t="s">
        <v>176</v>
      </c>
      <c r="Q8" s="87"/>
      <c r="R8" s="86"/>
      <c r="S8" s="86"/>
      <c r="T8" s="86"/>
      <c r="U8" s="86"/>
      <c r="V8" s="86"/>
      <c r="W8" s="86"/>
      <c r="X8" s="86"/>
    </row>
    <row r="9" spans="3:24">
      <c r="C9" t="s">
        <v>177</v>
      </c>
      <c r="Q9" s="87"/>
      <c r="R9" s="86"/>
      <c r="S9" s="86"/>
      <c r="T9" s="86"/>
      <c r="U9" s="86"/>
      <c r="V9" s="86"/>
      <c r="W9" s="86"/>
      <c r="X9" s="86"/>
    </row>
    <row r="10" spans="3:24">
      <c r="C10" t="s">
        <v>178</v>
      </c>
      <c r="N10" s="86"/>
      <c r="O10" s="86"/>
      <c r="P10" s="86"/>
      <c r="Q10" s="86"/>
      <c r="R10" s="86"/>
      <c r="S10" s="86"/>
      <c r="T10" s="86"/>
    </row>
    <row r="12" spans="3:24">
      <c r="C12" t="s">
        <v>179</v>
      </c>
      <c r="Q12" t="s">
        <v>180</v>
      </c>
      <c r="S12" s="142"/>
      <c r="T12" s="142"/>
      <c r="U12" s="142"/>
      <c r="V12" s="142"/>
      <c r="W12" s="142"/>
      <c r="X12" s="142"/>
    </row>
    <row r="13" spans="3:24">
      <c r="C13" s="55" t="s">
        <v>49</v>
      </c>
      <c r="D13" s="55" t="s">
        <v>181</v>
      </c>
      <c r="E13" s="55" t="s">
        <v>159</v>
      </c>
      <c r="F13" s="55" t="s">
        <v>163</v>
      </c>
      <c r="G13" s="55" t="s">
        <v>166</v>
      </c>
      <c r="H13" s="55" t="s">
        <v>169</v>
      </c>
      <c r="I13" s="55" t="s">
        <v>171</v>
      </c>
      <c r="J13" s="55" t="s">
        <v>174</v>
      </c>
      <c r="M13" s="40" t="s">
        <v>182</v>
      </c>
      <c r="N13" s="40" t="s">
        <v>183</v>
      </c>
      <c r="O13" s="40" t="s">
        <v>184</v>
      </c>
      <c r="Q13" s="63" t="s">
        <v>49</v>
      </c>
      <c r="R13" s="63" t="s">
        <v>185</v>
      </c>
      <c r="S13" s="63" t="s">
        <v>159</v>
      </c>
      <c r="T13" s="63" t="s">
        <v>163</v>
      </c>
      <c r="U13" s="63" t="s">
        <v>166</v>
      </c>
      <c r="V13" s="63" t="s">
        <v>169</v>
      </c>
      <c r="W13" s="63" t="s">
        <v>171</v>
      </c>
      <c r="X13" s="63" t="s">
        <v>174</v>
      </c>
    </row>
    <row r="14" spans="3:24">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c r="C15" s="56" t="s">
        <v>165</v>
      </c>
      <c r="D15" s="61"/>
      <c r="E15" s="61">
        <v>0</v>
      </c>
      <c r="F15" s="61">
        <v>0.71587584389076675</v>
      </c>
      <c r="G15" s="61">
        <v>4.7247805696790603</v>
      </c>
      <c r="H15" s="61">
        <v>3.8657295570101406</v>
      </c>
      <c r="I15" s="61">
        <v>59.847220549268101</v>
      </c>
      <c r="J15" s="61">
        <v>1.4317516877815335</v>
      </c>
      <c r="M15" s="40" t="s">
        <v>165</v>
      </c>
      <c r="N15" s="85">
        <v>2686327.44</v>
      </c>
      <c r="O15" s="85">
        <f t="shared" ref="O15:O21" si="0">N15*260</f>
        <v>698445134.39999998</v>
      </c>
      <c r="Q15" s="64" t="s">
        <v>165</v>
      </c>
      <c r="R15" s="65"/>
      <c r="S15" s="40">
        <v>0</v>
      </c>
      <c r="T15" s="40">
        <v>5</v>
      </c>
      <c r="U15" s="40">
        <v>33</v>
      </c>
      <c r="V15" s="40">
        <v>27</v>
      </c>
      <c r="W15" s="40">
        <v>418</v>
      </c>
      <c r="X15" s="40">
        <v>10</v>
      </c>
    </row>
    <row r="16" spans="3:24">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c r="C17" s="56" t="s">
        <v>50</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50</v>
      </c>
      <c r="R17" s="65"/>
      <c r="S17" s="40">
        <v>6</v>
      </c>
      <c r="T17" s="40">
        <v>44</v>
      </c>
      <c r="U17" s="40">
        <v>189</v>
      </c>
      <c r="V17" s="40">
        <v>328</v>
      </c>
      <c r="W17" s="40">
        <v>3467</v>
      </c>
      <c r="X17" s="40">
        <v>117</v>
      </c>
    </row>
    <row r="18" spans="3:24">
      <c r="C18" s="56" t="s">
        <v>173</v>
      </c>
      <c r="D18" s="61"/>
      <c r="E18" s="61">
        <v>0.90708688014883054</v>
      </c>
      <c r="F18" s="61">
        <v>3.6345604444319584</v>
      </c>
      <c r="G18" s="61">
        <v>19.334618979610692</v>
      </c>
      <c r="H18" s="61">
        <v>53.611319786330533</v>
      </c>
      <c r="I18" s="61">
        <v>404.81547842368047</v>
      </c>
      <c r="J18" s="61">
        <v>37.824280317438905</v>
      </c>
      <c r="M18" s="40" t="s">
        <v>173</v>
      </c>
      <c r="N18" s="85">
        <v>61905697.659999996</v>
      </c>
      <c r="O18" s="85">
        <f t="shared" si="0"/>
        <v>16095481391.599998</v>
      </c>
      <c r="Q18" s="64" t="s">
        <v>173</v>
      </c>
      <c r="R18" s="65"/>
      <c r="S18" s="40">
        <v>146</v>
      </c>
      <c r="T18" s="40">
        <v>585</v>
      </c>
      <c r="U18" s="40">
        <v>3112</v>
      </c>
      <c r="V18" s="40">
        <v>8629</v>
      </c>
      <c r="W18" s="40">
        <v>65157</v>
      </c>
      <c r="X18" s="40">
        <v>6088</v>
      </c>
    </row>
    <row r="19" spans="3:24">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188</v>
      </c>
      <c r="Q26" t="s">
        <v>189</v>
      </c>
      <c r="S26" s="142"/>
      <c r="T26" s="142"/>
      <c r="U26" s="142"/>
      <c r="V26" s="142"/>
      <c r="W26" s="142"/>
      <c r="X26" s="142"/>
    </row>
    <row r="27" spans="3:24">
      <c r="C27" s="55" t="s">
        <v>49</v>
      </c>
      <c r="D27" s="55" t="s">
        <v>181</v>
      </c>
      <c r="E27" s="55" t="s">
        <v>159</v>
      </c>
      <c r="F27" s="55" t="s">
        <v>163</v>
      </c>
      <c r="G27" s="55" t="s">
        <v>166</v>
      </c>
      <c r="H27" s="55" t="s">
        <v>169</v>
      </c>
      <c r="I27" s="55" t="s">
        <v>171</v>
      </c>
      <c r="J27" s="55" t="s">
        <v>174</v>
      </c>
      <c r="M27" s="40" t="s">
        <v>190</v>
      </c>
      <c r="N27" s="40" t="s">
        <v>183</v>
      </c>
      <c r="O27" s="40" t="s">
        <v>184</v>
      </c>
      <c r="Q27" s="63" t="s">
        <v>49</v>
      </c>
      <c r="R27" s="63" t="s">
        <v>185</v>
      </c>
      <c r="S27" s="63" t="s">
        <v>159</v>
      </c>
      <c r="T27" s="63" t="s">
        <v>163</v>
      </c>
      <c r="U27" s="63" t="s">
        <v>166</v>
      </c>
      <c r="V27" s="63" t="s">
        <v>169</v>
      </c>
      <c r="W27" s="63" t="s">
        <v>171</v>
      </c>
      <c r="X27" s="63" t="s">
        <v>174</v>
      </c>
    </row>
    <row r="28" spans="3:24">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c r="C29" s="57" t="s">
        <v>165</v>
      </c>
      <c r="D29" s="61"/>
      <c r="E29" s="61">
        <v>2.8832323701282432</v>
      </c>
      <c r="F29" s="61">
        <v>27.184762346923439</v>
      </c>
      <c r="G29" s="61">
        <v>68.373796205898344</v>
      </c>
      <c r="H29" s="61">
        <v>63.019221804231606</v>
      </c>
      <c r="I29" s="61">
        <v>906.57063523603767</v>
      </c>
      <c r="J29" s="61">
        <v>35.422569118718414</v>
      </c>
      <c r="M29" s="40" t="s">
        <v>165</v>
      </c>
      <c r="N29" s="85">
        <v>933781.03</v>
      </c>
      <c r="O29" s="85">
        <f t="shared" ref="O29:O35" si="2">N29*260</f>
        <v>242783067.80000001</v>
      </c>
      <c r="Q29" s="64" t="s">
        <v>165</v>
      </c>
      <c r="R29" s="65"/>
      <c r="S29" s="40">
        <v>7</v>
      </c>
      <c r="T29" s="40">
        <v>66</v>
      </c>
      <c r="U29" s="40">
        <v>166</v>
      </c>
      <c r="V29" s="40">
        <v>153</v>
      </c>
      <c r="W29" s="40">
        <v>2201</v>
      </c>
      <c r="X29" s="40">
        <v>86</v>
      </c>
    </row>
    <row r="30" spans="3:24">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c r="C31" s="57" t="s">
        <v>50</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50</v>
      </c>
      <c r="R31" s="65"/>
      <c r="S31" s="40">
        <v>34</v>
      </c>
      <c r="T31" s="40">
        <v>165</v>
      </c>
      <c r="U31" s="40">
        <v>603</v>
      </c>
      <c r="V31" s="85">
        <v>1209</v>
      </c>
      <c r="W31" s="85">
        <v>13123</v>
      </c>
      <c r="X31" s="40">
        <v>563</v>
      </c>
    </row>
    <row r="32" spans="3:24">
      <c r="C32" s="57" t="s">
        <v>173</v>
      </c>
      <c r="D32" s="61"/>
      <c r="E32" s="61">
        <v>1.7455741549787349</v>
      </c>
      <c r="F32" s="61">
        <v>8.8235958091989612</v>
      </c>
      <c r="G32" s="61">
        <v>49.782648723119337</v>
      </c>
      <c r="H32" s="61">
        <v>124.27924895011503</v>
      </c>
      <c r="I32" s="61">
        <v>963.65828946693784</v>
      </c>
      <c r="J32" s="61">
        <v>83.618632907852302</v>
      </c>
      <c r="M32" s="40" t="s">
        <v>173</v>
      </c>
      <c r="N32" s="85">
        <v>68304614.209999993</v>
      </c>
      <c r="O32" s="85">
        <f t="shared" si="2"/>
        <v>17759199694.599998</v>
      </c>
      <c r="Q32" s="64" t="s">
        <v>173</v>
      </c>
      <c r="R32" s="65"/>
      <c r="S32" s="40">
        <v>310</v>
      </c>
      <c r="T32" s="85">
        <v>1567</v>
      </c>
      <c r="U32" s="85">
        <v>8841</v>
      </c>
      <c r="V32" s="85">
        <v>22071</v>
      </c>
      <c r="W32" s="85">
        <v>171138</v>
      </c>
      <c r="X32" s="85">
        <v>14850</v>
      </c>
    </row>
    <row r="33" spans="3:24">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9" t="s">
        <v>193</v>
      </c>
      <c r="C4" s="39" t="s">
        <v>194</v>
      </c>
      <c r="D4" s="39" t="s">
        <v>195</v>
      </c>
      <c r="E4" s="39" t="s">
        <v>196</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197</v>
      </c>
      <c r="D11" s="41">
        <v>1</v>
      </c>
      <c r="E11" s="50">
        <v>9600000</v>
      </c>
      <c r="F11" s="70"/>
      <c r="H11" s="53"/>
    </row>
    <row r="14" spans="2:9">
      <c r="B14" s="2" t="s">
        <v>198</v>
      </c>
    </row>
    <row r="16" spans="2:9">
      <c r="B16" s="39" t="s">
        <v>193</v>
      </c>
      <c r="C16" s="40" t="s">
        <v>194</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197</v>
      </c>
      <c r="D23" s="47">
        <v>1</v>
      </c>
      <c r="E23" s="47">
        <v>0</v>
      </c>
      <c r="F23" s="47">
        <v>0</v>
      </c>
      <c r="G23" s="47">
        <v>0</v>
      </c>
      <c r="H23" s="47">
        <v>0</v>
      </c>
      <c r="I23" s="47">
        <v>0</v>
      </c>
    </row>
    <row r="24" spans="2:9">
      <c r="B24" s="143" t="s">
        <v>199</v>
      </c>
      <c r="C24" s="143"/>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43" workbookViewId="0" xr3:uid="{44B22561-5205-5C8A-B808-2C70100D228F}">
      <selection activeCell="C59" sqref="C59"/>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1" t="s">
        <v>202</v>
      </c>
      <c r="D3" s="71" t="s">
        <v>203</v>
      </c>
      <c r="E3" s="71" t="s">
        <v>204</v>
      </c>
      <c r="F3" s="71" t="s">
        <v>205</v>
      </c>
    </row>
    <row r="4" spans="2:6">
      <c r="C4" s="72" t="s">
        <v>206</v>
      </c>
      <c r="D4" s="93">
        <v>101</v>
      </c>
      <c r="E4" s="94">
        <v>0.2</v>
      </c>
      <c r="F4" s="95">
        <v>6</v>
      </c>
    </row>
    <row r="5" spans="2:6">
      <c r="C5" s="73" t="s">
        <v>207</v>
      </c>
      <c r="D5" s="93">
        <v>102</v>
      </c>
      <c r="E5" s="94">
        <v>0.2</v>
      </c>
      <c r="F5" s="95">
        <v>6</v>
      </c>
    </row>
    <row r="6" spans="2:6">
      <c r="C6" s="72" t="s">
        <v>208</v>
      </c>
      <c r="D6" s="93">
        <v>105</v>
      </c>
      <c r="E6" s="96">
        <v>0.25</v>
      </c>
      <c r="F6" s="95">
        <v>10</v>
      </c>
    </row>
    <row r="7" spans="2:6">
      <c r="C7" s="72" t="s">
        <v>209</v>
      </c>
      <c r="D7" s="93">
        <v>106</v>
      </c>
      <c r="E7" s="94">
        <v>0.1</v>
      </c>
      <c r="F7" s="95">
        <v>10</v>
      </c>
    </row>
    <row r="8" spans="2:6">
      <c r="C8" s="72" t="s">
        <v>210</v>
      </c>
      <c r="D8" s="93">
        <v>107</v>
      </c>
      <c r="E8" s="94">
        <v>0.28000000000000003</v>
      </c>
      <c r="F8" s="95">
        <v>10</v>
      </c>
    </row>
    <row r="9" spans="2:6">
      <c r="C9" s="72" t="s">
        <v>211</v>
      </c>
      <c r="D9" s="93">
        <v>108</v>
      </c>
      <c r="E9" s="94">
        <v>0.22</v>
      </c>
      <c r="F9" s="95">
        <v>10</v>
      </c>
    </row>
    <row r="10" spans="2:6">
      <c r="C10" s="72" t="s">
        <v>212</v>
      </c>
      <c r="D10" s="93">
        <v>110</v>
      </c>
      <c r="E10" s="94">
        <v>0.15</v>
      </c>
      <c r="F10" s="95">
        <v>10</v>
      </c>
    </row>
    <row r="11" spans="2:6">
      <c r="C11" s="72" t="s">
        <v>213</v>
      </c>
      <c r="D11" s="93">
        <v>111</v>
      </c>
      <c r="E11" s="94">
        <v>0.1</v>
      </c>
      <c r="F11" s="95">
        <v>10</v>
      </c>
    </row>
    <row r="12" spans="2:6">
      <c r="C12" s="73" t="s">
        <v>214</v>
      </c>
      <c r="D12" s="93">
        <v>112</v>
      </c>
      <c r="E12" s="94">
        <v>0.65</v>
      </c>
      <c r="F12" s="95">
        <v>1</v>
      </c>
    </row>
    <row r="13" spans="2:6">
      <c r="C13" s="72" t="s">
        <v>215</v>
      </c>
      <c r="D13" s="93">
        <v>113</v>
      </c>
      <c r="E13" s="96">
        <v>0.3</v>
      </c>
      <c r="F13" s="95">
        <v>2</v>
      </c>
    </row>
    <row r="14" spans="2:6">
      <c r="C14" s="72" t="s">
        <v>216</v>
      </c>
      <c r="D14" s="93">
        <v>114</v>
      </c>
      <c r="E14" s="94">
        <v>0.2</v>
      </c>
      <c r="F14" s="95">
        <v>5</v>
      </c>
    </row>
    <row r="15" spans="2:6">
      <c r="C15" s="72" t="s">
        <v>217</v>
      </c>
      <c r="D15" s="93">
        <v>118</v>
      </c>
      <c r="E15" s="94">
        <v>0.25</v>
      </c>
      <c r="F15" s="95">
        <v>10</v>
      </c>
    </row>
    <row r="16" spans="2:6">
      <c r="C16" s="73" t="s">
        <v>218</v>
      </c>
      <c r="D16" s="93">
        <v>119</v>
      </c>
      <c r="E16" s="94">
        <v>0.2</v>
      </c>
      <c r="F16" s="95">
        <v>6</v>
      </c>
    </row>
    <row r="17" spans="3:6">
      <c r="C17" s="72" t="s">
        <v>219</v>
      </c>
      <c r="D17" s="93">
        <v>121</v>
      </c>
      <c r="E17" s="96">
        <v>0.15</v>
      </c>
      <c r="F17" s="95">
        <v>6</v>
      </c>
    </row>
    <row r="18" spans="3:6" ht="28.9">
      <c r="C18" s="73" t="s">
        <v>220</v>
      </c>
      <c r="D18" s="93">
        <v>122</v>
      </c>
      <c r="E18" s="94">
        <v>0.1</v>
      </c>
      <c r="F18" s="95">
        <v>10</v>
      </c>
    </row>
    <row r="19" spans="3:6">
      <c r="C19" s="73" t="s">
        <v>221</v>
      </c>
      <c r="D19" s="93">
        <v>123</v>
      </c>
      <c r="E19" s="94">
        <v>0.1</v>
      </c>
      <c r="F19" s="95">
        <v>10</v>
      </c>
    </row>
    <row r="20" spans="3:6" ht="28.9">
      <c r="C20" s="73" t="s">
        <v>222</v>
      </c>
      <c r="D20" s="93">
        <v>124</v>
      </c>
      <c r="E20" s="94">
        <v>0.15</v>
      </c>
      <c r="F20" s="95">
        <v>10</v>
      </c>
    </row>
    <row r="21" spans="3:6">
      <c r="C21" s="72" t="s">
        <v>223</v>
      </c>
      <c r="D21" s="93">
        <v>125</v>
      </c>
      <c r="E21" s="96">
        <v>0.15</v>
      </c>
      <c r="F21" s="95">
        <v>10</v>
      </c>
    </row>
    <row r="22" spans="3:6" ht="28.9">
      <c r="C22" s="73" t="s">
        <v>224</v>
      </c>
      <c r="D22" s="93">
        <v>126</v>
      </c>
      <c r="E22" s="94">
        <v>0.2</v>
      </c>
      <c r="F22" s="95">
        <v>10</v>
      </c>
    </row>
    <row r="23" spans="3:6" ht="28.9">
      <c r="C23" s="73" t="s">
        <v>225</v>
      </c>
      <c r="D23" s="93">
        <v>127</v>
      </c>
      <c r="E23" s="94">
        <v>0.1</v>
      </c>
      <c r="F23" s="95">
        <v>10</v>
      </c>
    </row>
    <row r="24" spans="3:6" ht="28.9">
      <c r="C24" s="73" t="s">
        <v>226</v>
      </c>
      <c r="D24" s="93">
        <v>128</v>
      </c>
      <c r="E24" s="94">
        <v>0.05</v>
      </c>
      <c r="F24" s="95">
        <v>6</v>
      </c>
    </row>
    <row r="25" spans="3:6">
      <c r="C25" s="73" t="s">
        <v>227</v>
      </c>
      <c r="D25" s="93">
        <v>129</v>
      </c>
      <c r="E25" s="94">
        <v>0.1</v>
      </c>
      <c r="F25" s="95">
        <v>10</v>
      </c>
    </row>
    <row r="26" spans="3:6">
      <c r="C26" s="72" t="s">
        <v>228</v>
      </c>
      <c r="D26" s="93">
        <v>130</v>
      </c>
      <c r="E26" s="96">
        <v>0.05</v>
      </c>
      <c r="F26" s="95">
        <v>6</v>
      </c>
    </row>
    <row r="27" spans="3:6">
      <c r="C27" s="72" t="s">
        <v>229</v>
      </c>
      <c r="D27" s="93">
        <v>131</v>
      </c>
      <c r="E27" s="94">
        <v>0.1</v>
      </c>
      <c r="F27" s="95">
        <v>10</v>
      </c>
    </row>
    <row r="28" spans="3:6">
      <c r="C28" s="72" t="s">
        <v>230</v>
      </c>
      <c r="D28" s="93">
        <v>132</v>
      </c>
      <c r="E28" s="94">
        <v>0.1</v>
      </c>
      <c r="F28" s="95">
        <v>10</v>
      </c>
    </row>
    <row r="29" spans="3:6">
      <c r="C29" s="72" t="s">
        <v>231</v>
      </c>
      <c r="D29" s="93">
        <v>133</v>
      </c>
      <c r="E29" s="94">
        <v>0.05</v>
      </c>
      <c r="F29" s="95">
        <v>5</v>
      </c>
    </row>
    <row r="30" spans="3:6">
      <c r="C30" s="72" t="s">
        <v>232</v>
      </c>
      <c r="D30" s="93">
        <v>202</v>
      </c>
      <c r="E30" s="94">
        <v>0.4</v>
      </c>
      <c r="F30" s="95">
        <v>15</v>
      </c>
    </row>
    <row r="31" spans="3:6">
      <c r="C31" s="72" t="s">
        <v>233</v>
      </c>
      <c r="D31" s="93">
        <v>201</v>
      </c>
      <c r="E31" s="94">
        <v>0.65</v>
      </c>
      <c r="F31" s="95">
        <v>15</v>
      </c>
    </row>
    <row r="32" spans="3:6">
      <c r="C32" s="72" t="s">
        <v>234</v>
      </c>
      <c r="D32" s="93">
        <v>203</v>
      </c>
      <c r="E32" s="94">
        <v>0.4</v>
      </c>
      <c r="F32" s="95">
        <v>20</v>
      </c>
    </row>
    <row r="33" spans="3:6">
      <c r="C33" s="73" t="s">
        <v>235</v>
      </c>
      <c r="D33" s="93">
        <v>204</v>
      </c>
      <c r="E33" s="94">
        <v>0.46</v>
      </c>
      <c r="F33" s="95">
        <v>20</v>
      </c>
    </row>
    <row r="34" spans="3:6">
      <c r="C34" s="72" t="s">
        <v>236</v>
      </c>
      <c r="D34" s="93">
        <v>205</v>
      </c>
      <c r="E34" s="96">
        <v>0.15</v>
      </c>
      <c r="F34" s="95">
        <v>10</v>
      </c>
    </row>
    <row r="35" spans="3:6">
      <c r="C35" s="72" t="s">
        <v>237</v>
      </c>
      <c r="D35" s="93">
        <v>206</v>
      </c>
      <c r="E35" s="94">
        <v>7.0000000000000007E-2</v>
      </c>
      <c r="F35" s="95">
        <v>10</v>
      </c>
    </row>
    <row r="36" spans="3:6">
      <c r="C36" s="73" t="s">
        <v>238</v>
      </c>
      <c r="D36" s="93">
        <v>207</v>
      </c>
      <c r="E36" s="94">
        <v>0.3</v>
      </c>
      <c r="F36" s="95">
        <v>10</v>
      </c>
    </row>
    <row r="37" spans="3:6">
      <c r="C37" s="72" t="s">
        <v>239</v>
      </c>
      <c r="D37" s="93">
        <v>209</v>
      </c>
      <c r="E37" s="96">
        <v>0.55000000000000004</v>
      </c>
      <c r="F37" s="95">
        <v>20</v>
      </c>
    </row>
    <row r="38" spans="3:6">
      <c r="C38" s="72" t="s">
        <v>240</v>
      </c>
      <c r="D38" s="93">
        <v>217</v>
      </c>
      <c r="E38" s="94">
        <v>0.6</v>
      </c>
      <c r="F38" s="95">
        <v>10</v>
      </c>
    </row>
    <row r="39" spans="3:6">
      <c r="C39" s="72" t="s">
        <v>241</v>
      </c>
      <c r="D39" s="93">
        <v>218</v>
      </c>
      <c r="E39" s="94">
        <v>0.55000000000000004</v>
      </c>
      <c r="F39" s="95">
        <v>20</v>
      </c>
    </row>
    <row r="40" spans="3:6">
      <c r="C40" s="72" t="s">
        <v>242</v>
      </c>
      <c r="D40" s="93">
        <v>219</v>
      </c>
      <c r="E40" s="94">
        <v>0.1</v>
      </c>
      <c r="F40" s="95">
        <v>10</v>
      </c>
    </row>
    <row r="41" spans="3:6">
      <c r="C41" s="72" t="s">
        <v>243</v>
      </c>
      <c r="D41" s="93">
        <v>222</v>
      </c>
      <c r="E41" s="94">
        <v>0.1</v>
      </c>
      <c r="F41" s="95">
        <v>10</v>
      </c>
    </row>
    <row r="42" spans="3:6">
      <c r="C42" s="72" t="s">
        <v>244</v>
      </c>
      <c r="D42" s="93">
        <v>303</v>
      </c>
      <c r="E42" s="94">
        <v>0.42</v>
      </c>
      <c r="F42" s="95">
        <v>10</v>
      </c>
    </row>
    <row r="43" spans="3:6">
      <c r="C43" s="73" t="s">
        <v>245</v>
      </c>
      <c r="D43" s="93">
        <v>304</v>
      </c>
      <c r="E43" s="94">
        <v>0.4</v>
      </c>
      <c r="F43" s="95">
        <v>15</v>
      </c>
    </row>
    <row r="44" spans="3:6">
      <c r="C44" s="72" t="s">
        <v>246</v>
      </c>
      <c r="D44" s="93">
        <v>305</v>
      </c>
      <c r="E44" s="96">
        <v>0.75</v>
      </c>
      <c r="F44" s="95">
        <v>15</v>
      </c>
    </row>
    <row r="45" spans="3:6">
      <c r="C45" s="40" t="s">
        <v>247</v>
      </c>
      <c r="D45" s="95">
        <v>401</v>
      </c>
      <c r="E45" s="97">
        <v>0.2</v>
      </c>
      <c r="F45" s="95">
        <v>2</v>
      </c>
    </row>
    <row r="46" spans="3:6">
      <c r="C46" s="40" t="s">
        <v>248</v>
      </c>
      <c r="D46" s="95">
        <v>402</v>
      </c>
      <c r="E46" s="97">
        <v>0.25</v>
      </c>
      <c r="F46" s="95">
        <v>2</v>
      </c>
    </row>
    <row r="47" spans="3:6">
      <c r="C47" s="73" t="s">
        <v>249</v>
      </c>
      <c r="D47" s="95">
        <v>403</v>
      </c>
      <c r="E47" s="97">
        <v>0.1</v>
      </c>
      <c r="F47" s="95">
        <v>2</v>
      </c>
    </row>
    <row r="48" spans="3:6">
      <c r="C48" s="73" t="s">
        <v>250</v>
      </c>
      <c r="D48" s="95">
        <v>404</v>
      </c>
      <c r="E48" s="97">
        <v>0.65</v>
      </c>
      <c r="F48" s="95">
        <v>2</v>
      </c>
    </row>
    <row r="49" spans="3:6">
      <c r="C49" s="40" t="s">
        <v>251</v>
      </c>
      <c r="D49" s="95">
        <v>407</v>
      </c>
      <c r="E49" s="96">
        <v>0.2</v>
      </c>
      <c r="F49" s="95">
        <v>10</v>
      </c>
    </row>
    <row r="50" spans="3:6">
      <c r="C50" s="72" t="s">
        <v>252</v>
      </c>
      <c r="D50" s="93">
        <v>501</v>
      </c>
      <c r="E50" s="94">
        <v>0.15</v>
      </c>
      <c r="F50" s="95">
        <v>20</v>
      </c>
    </row>
    <row r="51" spans="3:6">
      <c r="C51" s="72" t="s">
        <v>253</v>
      </c>
      <c r="D51" s="93">
        <v>502</v>
      </c>
      <c r="E51" s="94">
        <v>0.3</v>
      </c>
      <c r="F51" s="95">
        <v>20</v>
      </c>
    </row>
    <row r="52" spans="3:6">
      <c r="C52" s="72" t="s">
        <v>254</v>
      </c>
      <c r="D52" s="93">
        <v>503</v>
      </c>
      <c r="E52" s="94">
        <v>0.25</v>
      </c>
      <c r="F52" s="95">
        <v>20</v>
      </c>
    </row>
    <row r="53" spans="3:6">
      <c r="C53" s="72" t="s">
        <v>255</v>
      </c>
      <c r="D53" s="93">
        <v>504</v>
      </c>
      <c r="E53" s="94">
        <v>0.25</v>
      </c>
      <c r="F53" s="95">
        <v>20</v>
      </c>
    </row>
    <row r="54" spans="3:6">
      <c r="C54" s="73" t="s">
        <v>256</v>
      </c>
      <c r="D54" s="93">
        <v>505</v>
      </c>
      <c r="E54" s="94">
        <v>0.5</v>
      </c>
      <c r="F54" s="95">
        <v>10</v>
      </c>
    </row>
    <row r="55" spans="3:6">
      <c r="C55" s="72" t="s">
        <v>257</v>
      </c>
      <c r="D55" s="93">
        <v>506</v>
      </c>
      <c r="E55" s="96">
        <v>0.5</v>
      </c>
      <c r="F55" s="95">
        <v>10</v>
      </c>
    </row>
    <row r="56" spans="3:6">
      <c r="C56" s="73" t="s">
        <v>258</v>
      </c>
      <c r="D56" s="93">
        <v>507</v>
      </c>
      <c r="E56" s="96">
        <v>0.65</v>
      </c>
      <c r="F56" s="95">
        <v>10</v>
      </c>
    </row>
    <row r="57" spans="3:6">
      <c r="C57" s="73" t="s">
        <v>259</v>
      </c>
      <c r="D57" s="93">
        <v>510</v>
      </c>
      <c r="E57" s="96">
        <v>0.4</v>
      </c>
      <c r="F57" s="95">
        <v>10</v>
      </c>
    </row>
    <row r="58" spans="3:6">
      <c r="C58" s="72" t="s">
        <v>260</v>
      </c>
      <c r="D58" s="93">
        <v>511</v>
      </c>
      <c r="E58" s="96">
        <v>0.1</v>
      </c>
      <c r="F58" s="95">
        <v>10</v>
      </c>
    </row>
    <row r="59" spans="3:6">
      <c r="C59" s="72" t="s">
        <v>70</v>
      </c>
      <c r="D59" s="93">
        <v>514</v>
      </c>
      <c r="E59" s="94">
        <v>0.8</v>
      </c>
      <c r="F59" s="95">
        <v>30</v>
      </c>
    </row>
    <row r="60" spans="3:6">
      <c r="C60" s="72" t="s">
        <v>261</v>
      </c>
      <c r="D60" s="93">
        <v>515</v>
      </c>
      <c r="E60" s="94">
        <v>0.65</v>
      </c>
      <c r="F60" s="95">
        <v>30</v>
      </c>
    </row>
    <row r="61" spans="3:6">
      <c r="C61" s="73" t="s">
        <v>262</v>
      </c>
      <c r="D61" s="93">
        <v>516</v>
      </c>
      <c r="E61" s="94">
        <v>0.95</v>
      </c>
      <c r="F61" s="95">
        <v>20</v>
      </c>
    </row>
    <row r="62" spans="3:6">
      <c r="C62" s="72" t="s">
        <v>263</v>
      </c>
      <c r="D62" s="93">
        <v>517</v>
      </c>
      <c r="E62" s="96">
        <v>0.28000000000000003</v>
      </c>
      <c r="F62" s="95">
        <v>20</v>
      </c>
    </row>
    <row r="63" spans="3:6">
      <c r="C63" s="72" t="s">
        <v>264</v>
      </c>
      <c r="D63" s="93">
        <v>518</v>
      </c>
      <c r="E63" s="94">
        <v>0.45</v>
      </c>
      <c r="F63" s="95">
        <v>10</v>
      </c>
    </row>
    <row r="64" spans="3:6">
      <c r="C64" s="72" t="s">
        <v>265</v>
      </c>
      <c r="D64" s="93">
        <v>519</v>
      </c>
      <c r="E64" s="94">
        <v>0.25</v>
      </c>
      <c r="F64" s="95">
        <v>10</v>
      </c>
    </row>
    <row r="65" spans="3:6">
      <c r="C65" s="72" t="s">
        <v>266</v>
      </c>
      <c r="D65" s="93">
        <v>520</v>
      </c>
      <c r="E65" s="94">
        <v>0.4</v>
      </c>
      <c r="F65" s="95">
        <v>10</v>
      </c>
    </row>
    <row r="66" spans="3:6">
      <c r="C66" s="72" t="s">
        <v>267</v>
      </c>
      <c r="D66" s="93">
        <v>521</v>
      </c>
      <c r="E66" s="94">
        <v>0.25</v>
      </c>
      <c r="F66" s="95">
        <v>10</v>
      </c>
    </row>
    <row r="67" spans="3:6">
      <c r="C67" s="72" t="s">
        <v>268</v>
      </c>
      <c r="D67" s="93">
        <v>522</v>
      </c>
      <c r="E67" s="94">
        <v>0.4</v>
      </c>
      <c r="F67" s="95">
        <v>10</v>
      </c>
    </row>
    <row r="68" spans="3:6">
      <c r="C68" s="72" t="s">
        <v>269</v>
      </c>
      <c r="D68" s="93">
        <v>523</v>
      </c>
      <c r="E68" s="94">
        <v>0.95</v>
      </c>
      <c r="F68" s="95">
        <v>10</v>
      </c>
    </row>
    <row r="69" spans="3:6">
      <c r="C69" s="72" t="s">
        <v>270</v>
      </c>
      <c r="D69" s="93">
        <v>524</v>
      </c>
      <c r="E69" s="94">
        <v>0.1</v>
      </c>
      <c r="F69" s="95">
        <v>10</v>
      </c>
    </row>
    <row r="70" spans="3:6">
      <c r="C70" s="73" t="s">
        <v>271</v>
      </c>
      <c r="D70" s="93">
        <v>525</v>
      </c>
      <c r="E70" s="94">
        <v>0.25</v>
      </c>
      <c r="F70" s="95">
        <v>10</v>
      </c>
    </row>
    <row r="71" spans="3:6">
      <c r="C71" s="72" t="s">
        <v>272</v>
      </c>
      <c r="D71" s="93">
        <v>526</v>
      </c>
      <c r="E71" s="96">
        <v>0.5</v>
      </c>
      <c r="F71" s="95">
        <v>10</v>
      </c>
    </row>
    <row r="72" spans="3:6">
      <c r="C72" s="72" t="s">
        <v>273</v>
      </c>
      <c r="D72" s="93">
        <v>527</v>
      </c>
      <c r="E72" s="94">
        <v>0.95</v>
      </c>
      <c r="F72" s="95">
        <v>10</v>
      </c>
    </row>
    <row r="73" spans="3:6">
      <c r="C73" s="72" t="s">
        <v>274</v>
      </c>
      <c r="D73" s="93">
        <v>528</v>
      </c>
      <c r="E73" s="94">
        <v>0.2</v>
      </c>
      <c r="F73" s="95">
        <v>10</v>
      </c>
    </row>
    <row r="74" spans="3:6">
      <c r="C74" s="72" t="s">
        <v>275</v>
      </c>
      <c r="D74" s="93">
        <v>529</v>
      </c>
      <c r="E74" s="94">
        <v>0.35</v>
      </c>
      <c r="F74" s="95">
        <v>10</v>
      </c>
    </row>
    <row r="75" spans="3:6">
      <c r="C75" s="72" t="s">
        <v>276</v>
      </c>
      <c r="D75" s="93">
        <v>532</v>
      </c>
      <c r="E75" s="96">
        <v>0.25</v>
      </c>
      <c r="F75" s="95">
        <v>10</v>
      </c>
    </row>
    <row r="76" spans="3:6">
      <c r="C76" s="72" t="s">
        <v>277</v>
      </c>
      <c r="D76" s="93">
        <v>533</v>
      </c>
      <c r="E76" s="94">
        <v>0.15</v>
      </c>
      <c r="F76" s="95">
        <v>5</v>
      </c>
    </row>
    <row r="77" spans="3:6">
      <c r="C77" s="72" t="s">
        <v>278</v>
      </c>
      <c r="D77" s="93">
        <v>535</v>
      </c>
      <c r="E77" s="94">
        <v>0.2</v>
      </c>
      <c r="F77" s="95">
        <v>10</v>
      </c>
    </row>
    <row r="78" spans="3:6">
      <c r="C78" s="72" t="s">
        <v>279</v>
      </c>
      <c r="D78" s="93">
        <v>536</v>
      </c>
      <c r="E78" s="94">
        <v>0.4</v>
      </c>
      <c r="F78" s="95">
        <v>20</v>
      </c>
    </row>
    <row r="79" spans="3:6">
      <c r="C79" s="72" t="s">
        <v>280</v>
      </c>
      <c r="D79" s="93">
        <v>537</v>
      </c>
      <c r="E79" s="94">
        <v>0.4</v>
      </c>
      <c r="F79" s="95">
        <v>20</v>
      </c>
    </row>
    <row r="80" spans="3:6">
      <c r="C80" s="72" t="s">
        <v>281</v>
      </c>
      <c r="D80" s="93">
        <v>538</v>
      </c>
      <c r="E80" s="94">
        <v>0.45</v>
      </c>
      <c r="F80" s="95">
        <v>20</v>
      </c>
    </row>
    <row r="81" spans="3:6">
      <c r="C81" s="72" t="s">
        <v>282</v>
      </c>
      <c r="D81" s="93">
        <v>539</v>
      </c>
      <c r="E81" s="94">
        <v>0.4</v>
      </c>
      <c r="F81" s="95">
        <v>20</v>
      </c>
    </row>
    <row r="82" spans="3:6">
      <c r="C82" s="72" t="s">
        <v>283</v>
      </c>
      <c r="D82" s="93">
        <v>540</v>
      </c>
      <c r="E82" s="94">
        <v>0.25</v>
      </c>
      <c r="F82" s="95">
        <v>10</v>
      </c>
    </row>
    <row r="83" spans="3:6">
      <c r="C83" s="72" t="s">
        <v>284</v>
      </c>
      <c r="D83" s="93">
        <v>542</v>
      </c>
      <c r="E83" s="94">
        <v>0.35</v>
      </c>
      <c r="F83" s="95">
        <v>10</v>
      </c>
    </row>
    <row r="84" spans="3:6">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39FA2C-8079-49B5-9626-FB0F0D12B95D}"/>
</file>

<file path=customXml/itemProps2.xml><?xml version="1.0" encoding="utf-8"?>
<ds:datastoreItem xmlns:ds="http://schemas.openxmlformats.org/officeDocument/2006/customXml" ds:itemID="{6770759C-633E-4BEF-AFFE-71DE6E04ED08}"/>
</file>

<file path=customXml/itemProps3.xml><?xml version="1.0" encoding="utf-8"?>
<ds:datastoreItem xmlns:ds="http://schemas.openxmlformats.org/officeDocument/2006/customXml" ds:itemID="{00B49E53-9CB9-4BC3-80B6-E17746C1B5B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2018-10-26T19:56:07Z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