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pur 1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<sst xmlns="http://schemas.openxmlformats.org/spreadsheetml/2006/main" count="262" uniqueCount="130">
  <si>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</si>
  <si>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</si>
  <si>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</si>
  <si>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</si>
  <si>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</si>
  <si>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</si>
  <si>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</si>
  <si>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</si>
  <si>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</si>
  <si>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</si>
  <si>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</si>
  <si>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</si>
  <si>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</si>
  <si>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</si>
  <si>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</si>
  <si>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</si>
  <si>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</si>
  <si>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</si>
  <si>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</si>
  <si>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</si>
  <si>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</si>
  <si>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</si>
  <si>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</si>
  <si>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</si>
  <si>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</si>
  <si>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</si>
  <si>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</si>
  <si>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</si>
  <si>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</si>
  <si>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</si>
  <si>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</si>
  <si>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</si>
  <si>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</si>
  <si>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</si>
  <si>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</si>
  <si>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</si>
  <si>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</si>
  <si>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</si>
  <si>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</si>
  <si>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</si>
  <si>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</si>
  <si>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</si>
  <si>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</si>
  <si>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</si>
  <si>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</si>
  <si>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</si>
  <si>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</si>
  <si>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</si>
  <si>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</si>
  <si>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</si>
  <si>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</si>
  <si>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</si>
  <si>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</si>
  <si>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</si>
  <si>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</si>
  <si>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</si>
  <si>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</si>
  <si>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</si>
  <si>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</si>
  <si>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</si>
  <si>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</si>
  <si>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</si>
  <si>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</si>
  <si>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</si>
  <si>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</si>
  <si>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</si>
  <si>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</si>
  <si>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</si>
  <si>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</si>
  <si>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</si>
  <si>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</si>
  <si>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</si>
  <si>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</si>
  <si>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</si>
  <si>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</si>
  <si>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</si>
  <si>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</si>
  <si>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</si>
  <si>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</si>
  <si>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</si>
  <si>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</si>
  <si>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</si>
  <si>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</si>
  <si>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</si>
  <si>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</si>
  <si>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</si>
  <si>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</si>
  <si>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</si>
  <si>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</si>
  <si>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</si>
  <si>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</si>
  <si>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</si>
  <si>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</si>
  <si>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</si>
  <si>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</si>
  <si>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</si>
  <si>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</si>
  <si>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</si>
  <si>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</si>
  <si>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</si>
  <si>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</si>
  <si>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</si>
  <si>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</si>
  <si>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</si>
  <si>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</si>
  <si>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</si>
  <si>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</si>
  <si>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</si>
  <si>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</si>
  <si>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</si>
  <si>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</si>
  <si>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</si>
  <si>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</si>
  <si>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</si>
  <si>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</si>
  <si>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</si>
  <si>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</si>
  <si>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</si>
  <si>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</si>
  <si>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</si>
  <si>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</si>
  <si>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</si>
  <si>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</si>
  <si>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</si>
  <si>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</si>
  <si>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</si>
  <si>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</si>
  <si>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</si>
  <si>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</si>
  <si>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Installation of Arterial ITS Spur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</si>
</sst>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13" zoomScaleNormal="100" workbookViewId="0">
      <selection activeCell="F22" sqref="F22"/>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284</v>
      </c>
      <c r="D7" s="98"/>
      <c r="E7" s="99" t="s">
        <v>127</v>
      </c>
    </row>
    <row r="8" spans="1:5" x14ac:dyDescent="0.25">
      <c r="A8" s="6" t="s">
        <v>52</v>
      </c>
      <c r="B8" s="6"/>
      <c r="D8" s="103"/>
      <c r="E8" s="99" t="s">
        <v>92</v>
      </c>
    </row>
    <row r="9" spans="1:5" x14ac:dyDescent="0.25">
      <c r="A9" s="6" t="s">
        <v>64</v>
      </c>
      <c r="B9" s="104" t="s">
        <v>69</v>
      </c>
      <c r="D9" s="105"/>
      <c r="E9" s="99" t="s">
        <v>93</v>
      </c>
    </row>
    <row r="11" spans="1:5" x14ac:dyDescent="0.25">
      <c r="A11" s="63"/>
      <c r="B11" s="63"/>
    </row>
    <row r="12" spans="1:5" x14ac:dyDescent="0.25">
      <c r="A12" s="102" t="s">
        <v>85</v>
      </c>
      <c r="B12" s="63"/>
    </row>
    <row r="13" spans="1:5" x14ac:dyDescent="0.25">
      <c r="A13" s="6" t="s">
        <v>56</v>
      </c>
      <c r="B13" s="45">
        <v>2026</v>
      </c>
    </row>
    <row r="14" spans="1:5" x14ac:dyDescent="0.25">
      <c r="A14" s="6" t="s">
        <v>86</v>
      </c>
      <c r="B14" s="6" t="s">
        <v>123</v>
      </c>
    </row>
    <row r="15" spans="1:5" x14ac:dyDescent="0.25">
      <c r="A15" s="106" t="s">
        <v>87</v>
      </c>
      <c r="B15" s="57" t="s">
        <v>76</v>
      </c>
    </row>
    <row r="16" spans="1:5" x14ac:dyDescent="0.25">
      <c r="A16" s="106" t="s">
        <v>88</v>
      </c>
      <c r="B16" s="57">
        <v>5</v>
      </c>
    </row>
    <row r="17" spans="1:3" x14ac:dyDescent="0.25">
      <c r="A17" s="107" t="s">
        <v>95</v>
      </c>
      <c r="B17" s="57">
        <v>39</v>
      </c>
    </row>
    <row r="18" spans="1:3" x14ac:dyDescent="0.25">
      <c r="A18" s="107" t="s">
        <v>96</v>
      </c>
      <c r="B18" s="57">
        <v>45</v>
      </c>
    </row>
    <row r="19" spans="1:3" x14ac:dyDescent="0.25">
      <c r="A19" s="96" t="s">
        <v>97</v>
      </c>
      <c r="B19" s="97">
        <f>VLOOKUP(B14,'Service Life'!C6:D8,2,FALSE)</f>
        <v>12</v>
      </c>
    </row>
    <row r="21" spans="1:3" x14ac:dyDescent="0.25">
      <c r="A21" s="102" t="s">
        <v>89</v>
      </c>
    </row>
    <row r="22" spans="1:3" ht="20.25" customHeight="1" x14ac:dyDescent="0.25">
      <c r="A22" s="107" t="s">
        <v>90</v>
      </c>
      <c r="B22" s="119">
        <v>1342</v>
      </c>
    </row>
    <row r="23" spans="1:3" ht="30" x14ac:dyDescent="0.25">
      <c r="A23" s="118" t="s">
        <v>101</v>
      </c>
      <c r="B23" s="120">
        <v>2825</v>
      </c>
    </row>
    <row r="24" spans="1:3" ht="30" x14ac:dyDescent="0.25">
      <c r="A24" s="118" t="s">
        <v>102</v>
      </c>
      <c r="B24" s="120">
        <v>14451</v>
      </c>
    </row>
    <row r="27" spans="1:3" ht="18.75" x14ac:dyDescent="0.3">
      <c r="A27" s="100" t="s">
        <v>55</v>
      </c>
      <c r="B27" s="101"/>
    </row>
    <row r="29" spans="1:3" x14ac:dyDescent="0.25">
      <c r="A29" s="108" t="s">
        <v>53</v>
      </c>
    </row>
    <row r="30" spans="1:3" x14ac:dyDescent="0.25">
      <c r="A30" s="105" t="s">
        <v>112</v>
      </c>
      <c r="B30" s="114">
        <f>'Benefit Calculations'!M37</f>
        <v>-105.9541363536319</v>
      </c>
    </row>
    <row r="31" spans="1:3" x14ac:dyDescent="0.25">
      <c r="A31" s="105" t="s">
        <v>113</v>
      </c>
      <c r="B31" s="114">
        <f>'Benefit Calculations'!Q37</f>
        <v>32.116253299445738</v>
      </c>
      <c r="C31" s="109"/>
    </row>
    <row r="32" spans="1:3" x14ac:dyDescent="0.25">
      <c r="A32" s="110"/>
      <c r="B32" s="111"/>
      <c r="C32" s="109"/>
    </row>
    <row r="33" spans="1:9" x14ac:dyDescent="0.25">
      <c r="A33" s="108" t="s">
        <v>94</v>
      </c>
      <c r="B33" s="111"/>
      <c r="C33" s="109"/>
    </row>
    <row r="34" spans="1:9" x14ac:dyDescent="0.25">
      <c r="A34" s="105" t="s">
        <v>114</v>
      </c>
      <c r="B34" s="114">
        <f>$B$30+$B$31</f>
        <v>-73.837883054186165</v>
      </c>
      <c r="C34" s="109"/>
    </row>
    <row r="35" spans="1:9" x14ac:dyDescent="0.25">
      <c r="I35" s="112"/>
    </row>
    <row r="36" spans="1:9" x14ac:dyDescent="0.25">
      <c r="A36" s="108" t="s">
        <v>107</v>
      </c>
    </row>
    <row r="37" spans="1:9" x14ac:dyDescent="0.25">
      <c r="A37" s="105" t="s">
        <v>116</v>
      </c>
      <c r="B37" s="115">
        <f>'Benefit Calculations'!K37</f>
        <v>-3.6077349134226715E-2</v>
      </c>
    </row>
    <row r="38" spans="1:9" x14ac:dyDescent="0.25">
      <c r="A38" s="105" t="s">
        <v>117</v>
      </c>
      <c r="B38" s="115">
        <f>'Benefit Calculations'!O37</f>
        <v>4.3099364037405247E-2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5.9431999921799997E-2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1.26173002645E-2</v>
      </c>
      <c r="F4" s="70">
        <v>2018</v>
      </c>
      <c r="G4" s="80">
        <f>'Inputs &amp; Outputs'!B22</f>
        <v>1342</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5.9905700385600003E-2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1.20513997972E-2</v>
      </c>
      <c r="F5" s="70">
        <f t="shared" ref="F5:F36" si="2">F4+1</f>
        <v>2019</v>
      </c>
      <c r="G5" s="80">
        <f>G4+G4*H5</f>
        <v>1492.5653797341308</v>
      </c>
      <c r="H5" s="79">
        <f>$C$9</f>
        <v>0.1121947688033762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1660.023407437325</v>
      </c>
      <c r="H6" s="79">
        <f t="shared" ref="H6:H11" si="7">$C$9</f>
        <v>0.1121947688033762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1846.2693498429485</v>
      </c>
      <c r="H7" s="79">
        <f t="shared" si="7"/>
        <v>0.1121947688033762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2053.4111126973376</v>
      </c>
      <c r="H8" s="79">
        <f t="shared" si="7"/>
        <v>0.1121947688033762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0.1121947688033762</v>
      </c>
      <c r="F9" s="70">
        <f t="shared" si="2"/>
        <v>2023</v>
      </c>
      <c r="G9" s="80">
        <f t="shared" si="6"/>
        <v>2283.793097744699</v>
      </c>
      <c r="H9" s="79">
        <f t="shared" si="7"/>
        <v>0.1121947688033762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6.7468769621404689E-2</v>
      </c>
      <c r="F10" s="70">
        <f t="shared" si="2"/>
        <v>2024</v>
      </c>
      <c r="G10" s="80">
        <f t="shared" si="6"/>
        <v>2540.0227363409117</v>
      </c>
      <c r="H10" s="79">
        <f t="shared" si="7"/>
        <v>0.1121947688033762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9.2012492958067904E-2</v>
      </c>
      <c r="F11" s="70">
        <f t="shared" si="2"/>
        <v>2025</v>
      </c>
      <c r="G11" s="80">
        <f>'Inputs &amp; Outputs'!$B$23</f>
        <v>2825</v>
      </c>
      <c r="H11" s="79">
        <f t="shared" si="7"/>
        <v>0.1121947688033762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3015.5992741804685</v>
      </c>
      <c r="H12" s="79">
        <f>$C$10</f>
        <v>6.7468769621404689E-2</v>
      </c>
      <c r="I12" s="70">
        <f>IF(AND(F12&gt;='Inputs &amp; Outputs'!B$13,F12&lt;'Inputs &amp; Outputs'!B$13+'Inputs &amp; Outputs'!B$19),1,0)</f>
        <v>1</v>
      </c>
      <c r="J12" s="71">
        <f>I12*'Inputs &amp; Outputs'!B$16*'Benefit Calculations'!G12*('Benefit Calculations'!C$4-'Benefit Calculations'!C$5)</f>
        <v>-7.1424538740712453</v>
      </c>
      <c r="K12" s="89">
        <f t="shared" si="3"/>
        <v>-2.0470356700057805E-3</v>
      </c>
      <c r="L12" s="72">
        <f>K12*'Assumed Values'!$C$8</f>
        <v>-15.369143810403399</v>
      </c>
      <c r="M12" s="73">
        <f t="shared" si="0"/>
        <v>-8.9449816270241858</v>
      </c>
      <c r="N12" s="88">
        <f>I12*'Inputs &amp; Outputs'!B$16*'Benefit Calculations'!G12*('Benefit Calculations'!D$4-'Benefit Calculations'!D$5)</f>
        <v>8.5326451922413433</v>
      </c>
      <c r="O12" s="89">
        <f t="shared" si="4"/>
        <v>2.445466134745266E-3</v>
      </c>
      <c r="P12" s="72">
        <f>ABS(O12*'Assumed Values'!$C$7)</f>
        <v>4.6586129866897314</v>
      </c>
      <c r="Q12" s="73">
        <f t="shared" si="1"/>
        <v>2.71135517289835</v>
      </c>
      <c r="T12" s="85">
        <f t="shared" si="5"/>
        <v>-1.8570380072585237E-3</v>
      </c>
      <c r="U12" s="86">
        <f>T12*'Assumed Values'!$D$8</f>
        <v>0</v>
      </c>
    </row>
    <row r="13" spans="2:21" x14ac:dyDescent="0.25">
      <c r="B13" s="27"/>
      <c r="C13" s="68"/>
      <c r="F13" s="70">
        <f t="shared" si="2"/>
        <v>2027</v>
      </c>
      <c r="G13" s="80">
        <f t="shared" si="6"/>
        <v>3219.0580468806256</v>
      </c>
      <c r="H13" s="79">
        <f t="shared" ref="H13:H36" si="8">$C$10</f>
        <v>6.7468769621404689E-2</v>
      </c>
      <c r="I13" s="70">
        <f>IF(AND(F13&gt;='Inputs &amp; Outputs'!B$13,F13&lt;'Inputs &amp; Outputs'!B$13+'Inputs &amp; Outputs'!B$19),1,0)</f>
        <v>1</v>
      </c>
      <c r="J13" s="71">
        <f>I13*'Inputs &amp; Outputs'!B$16*'Benefit Calculations'!G13*('Benefit Calculations'!C$4-'Benefit Calculations'!C$5)</f>
        <v>-7.6243464490324664</v>
      </c>
      <c r="K13" s="89">
        <f t="shared" si="3"/>
        <v>-2.1851466480321976E-3</v>
      </c>
      <c r="L13" s="72">
        <f>K13*'Assumed Values'!$C$8</f>
        <v>-16.406081033425739</v>
      </c>
      <c r="M13" s="73">
        <f t="shared" si="0"/>
        <v>-8.9238210576500681</v>
      </c>
      <c r="N13" s="88">
        <f>I13*'Inputs &amp; Outputs'!B$16*'Benefit Calculations'!G13*('Benefit Calculations'!D$4-'Benefit Calculations'!D$5)</f>
        <v>9.1083322649778591</v>
      </c>
      <c r="O13" s="89">
        <f t="shared" si="4"/>
        <v>2.6104587260073406E-3</v>
      </c>
      <c r="P13" s="72">
        <f>ABS(O13*'Assumed Values'!$C$7)</f>
        <v>4.9729238730439835</v>
      </c>
      <c r="Q13" s="73">
        <f t="shared" si="1"/>
        <v>2.7049410938508704</v>
      </c>
      <c r="T13" s="85">
        <f t="shared" si="5"/>
        <v>-1.9823300767484414E-3</v>
      </c>
      <c r="U13" s="86">
        <f>T13*'Assumed Values'!$D$8</f>
        <v>0</v>
      </c>
    </row>
    <row r="14" spans="2:21" x14ac:dyDescent="0.25">
      <c r="B14" s="27"/>
      <c r="C14" s="68"/>
      <c r="F14" s="70">
        <f t="shared" si="2"/>
        <v>2028</v>
      </c>
      <c r="G14" s="80">
        <f t="shared" si="6"/>
        <v>3436.2439326435433</v>
      </c>
      <c r="H14" s="79">
        <f t="shared" si="8"/>
        <v>6.7468769621404689E-2</v>
      </c>
      <c r="I14" s="70">
        <f>IF(AND(F14&gt;='Inputs &amp; Outputs'!B$13,F14&lt;'Inputs &amp; Outputs'!B$13+'Inputs &amp; Outputs'!B$19),1,0)</f>
        <v>1</v>
      </c>
      <c r="J14" s="71">
        <f>I14*'Inputs &amp; Outputs'!B$16*'Benefit Calculations'!G14*('Benefit Calculations'!C$4-'Benefit Calculations'!C$5)</f>
        <v>-8.1387517231160125</v>
      </c>
      <c r="K14" s="89">
        <f t="shared" si="3"/>
        <v>-2.3325758038172666E-3</v>
      </c>
      <c r="L14" s="72">
        <f>K14*'Assumed Values'!$C$8</f>
        <v>-17.512979135060039</v>
      </c>
      <c r="M14" s="73">
        <f t="shared" si="0"/>
        <v>-8.902710546477854</v>
      </c>
      <c r="N14" s="88">
        <f>I14*'Inputs &amp; Outputs'!B$16*'Benefit Calculations'!G14*('Benefit Calculations'!D$4-'Benefit Calculations'!D$5)</f>
        <v>9.7228602361988568</v>
      </c>
      <c r="O14" s="89">
        <f t="shared" si="4"/>
        <v>2.7865831643985152E-3</v>
      </c>
      <c r="P14" s="72">
        <f>ABS(O14*'Assumed Values'!$C$7)</f>
        <v>5.3084409281791718</v>
      </c>
      <c r="Q14" s="73">
        <f t="shared" si="1"/>
        <v>2.6985421881788465</v>
      </c>
      <c r="T14" s="85">
        <f t="shared" si="5"/>
        <v>-2.1160754480101631E-3</v>
      </c>
      <c r="U14" s="86">
        <f>T14*'Assumed Values'!$D$8</f>
        <v>0</v>
      </c>
    </row>
    <row r="15" spans="2:21" x14ac:dyDescent="0.25">
      <c r="B15" s="27"/>
      <c r="C15" s="69"/>
      <c r="F15" s="70">
        <f t="shared" si="2"/>
        <v>2029</v>
      </c>
      <c r="G15" s="80">
        <f t="shared" si="6"/>
        <v>3668.0830828980202</v>
      </c>
      <c r="H15" s="79">
        <f t="shared" si="8"/>
        <v>6.7468769621404689E-2</v>
      </c>
      <c r="I15" s="70">
        <f>IF(AND(F15&gt;='Inputs &amp; Outputs'!B$13,F15&lt;'Inputs &amp; Outputs'!B$13+'Inputs &amp; Outputs'!B$19),1,0)</f>
        <v>1</v>
      </c>
      <c r="J15" s="71">
        <f>I15*'Inputs &amp; Outputs'!B$16*'Benefit Calculations'!G15*('Benefit Calculations'!C$4-'Benefit Calculations'!C$5)</f>
        <v>-8.687863288128737</v>
      </c>
      <c r="K15" s="89">
        <f t="shared" si="3"/>
        <v>-2.4899518233494765E-3</v>
      </c>
      <c r="L15" s="72">
        <f>K15*'Assumed Values'!$C$8</f>
        <v>-18.694558289707871</v>
      </c>
      <c r="M15" s="73">
        <f t="shared" si="0"/>
        <v>-8.8816499750880524</v>
      </c>
      <c r="N15" s="88">
        <f>I15*'Inputs &amp; Outputs'!B$16*'Benefit Calculations'!G15*('Benefit Calculations'!D$4-'Benefit Calculations'!D$5)</f>
        <v>10.378849653536074</v>
      </c>
      <c r="O15" s="89">
        <f t="shared" si="4"/>
        <v>2.974590501948204E-3</v>
      </c>
      <c r="P15" s="72">
        <f>ABS(O15*'Assumed Values'!$C$7)</f>
        <v>5.666594906211329</v>
      </c>
      <c r="Q15" s="73">
        <f t="shared" si="1"/>
        <v>2.6921584199875945</v>
      </c>
      <c r="T15" s="85">
        <f t="shared" si="5"/>
        <v>-2.2588444549134713E-3</v>
      </c>
      <c r="U15" s="86">
        <f>T15*'Assumed Values'!$D$8</f>
        <v>0</v>
      </c>
    </row>
    <row r="16" spans="2:21" x14ac:dyDescent="0.25">
      <c r="B16" s="27"/>
      <c r="C16" s="69"/>
      <c r="F16" s="70">
        <f t="shared" si="2"/>
        <v>2030</v>
      </c>
      <c r="G16" s="80">
        <f t="shared" si="6"/>
        <v>3915.5641353702385</v>
      </c>
      <c r="H16" s="79">
        <f t="shared" si="8"/>
        <v>6.7468769621404689E-2</v>
      </c>
      <c r="I16" s="70">
        <f>IF(AND(F16&gt;='Inputs &amp; Outputs'!B$13,F16&lt;'Inputs &amp; Outputs'!B$13+'Inputs &amp; Outputs'!B$19),1,0)</f>
        <v>1</v>
      </c>
      <c r="J16" s="71">
        <f>I16*'Inputs &amp; Outputs'!B$16*'Benefit Calculations'!G16*('Benefit Calculations'!C$4-'Benefit Calculations'!C$5)</f>
        <v>-9.2740227348177537</v>
      </c>
      <c r="K16" s="89">
        <f t="shared" si="3"/>
        <v>-2.6579458092874388E-3</v>
      </c>
      <c r="L16" s="72">
        <f>K16*'Assumed Values'!$C$8</f>
        <v>-19.955857136130092</v>
      </c>
      <c r="M16" s="73">
        <f t="shared" si="0"/>
        <v>-8.8606392253413304</v>
      </c>
      <c r="N16" s="88">
        <f>I16*'Inputs &amp; Outputs'!B$16*'Benefit Calculations'!G16*('Benefit Calculations'!D$4-'Benefit Calculations'!D$5)</f>
        <v>11.079097869745695</v>
      </c>
      <c r="O16" s="89">
        <f t="shared" si="4"/>
        <v>3.1752824632421653E-3</v>
      </c>
      <c r="P16" s="72">
        <f>ABS(O16*'Assumed Values'!$C$7)</f>
        <v>6.048913092476325</v>
      </c>
      <c r="Q16" s="73">
        <f t="shared" si="1"/>
        <v>2.6857897534673483</v>
      </c>
      <c r="T16" s="85">
        <f t="shared" si="5"/>
        <v>-2.411245911052616E-3</v>
      </c>
      <c r="U16" s="86">
        <f>T16*'Assumed Values'!$D$8</f>
        <v>0</v>
      </c>
    </row>
    <row r="17" spans="2:21" x14ac:dyDescent="0.25">
      <c r="B17" s="27"/>
      <c r="C17" s="69"/>
      <c r="F17" s="70">
        <f t="shared" si="2"/>
        <v>2031</v>
      </c>
      <c r="G17" s="80">
        <f t="shared" si="6"/>
        <v>4179.7424299573677</v>
      </c>
      <c r="H17" s="79">
        <f t="shared" si="8"/>
        <v>6.7468769621404689E-2</v>
      </c>
      <c r="I17" s="70">
        <f>IF(AND(F17&gt;='Inputs &amp; Outputs'!B$13,F17&lt;'Inputs &amp; Outputs'!B$13+'Inputs &amp; Outputs'!B$19),1,0)</f>
        <v>1</v>
      </c>
      <c r="J17" s="71">
        <f>I17*'Inputs &amp; Outputs'!B$16*'Benefit Calculations'!G17*('Benefit Calculations'!C$4-'Benefit Calculations'!C$5)</f>
        <v>-9.8997296381768436</v>
      </c>
      <c r="K17" s="89">
        <f t="shared" si="3"/>
        <v>-2.8372741427604314E-3</v>
      </c>
      <c r="L17" s="72">
        <f>K17*'Assumed Values'!$C$8</f>
        <v>-21.30225426384532</v>
      </c>
      <c r="M17" s="73">
        <f t="shared" si="0"/>
        <v>-8.8396781793778203</v>
      </c>
      <c r="N17" s="88">
        <f>I17*'Inputs &amp; Outputs'!B$16*'Benefit Calculations'!G17*('Benefit Calculations'!D$4-'Benefit Calculations'!D$5)</f>
        <v>11.826590971532564</v>
      </c>
      <c r="O17" s="89">
        <f t="shared" si="4"/>
        <v>3.389514864237538E-3</v>
      </c>
      <c r="P17" s="72">
        <f>ABS(O17*'Assumed Values'!$C$7)</f>
        <v>6.4570258163725098</v>
      </c>
      <c r="Q17" s="73">
        <f t="shared" si="1"/>
        <v>2.6794361528930524</v>
      </c>
      <c r="T17" s="85">
        <f t="shared" si="5"/>
        <v>-2.5739297059259791E-3</v>
      </c>
      <c r="U17" s="86">
        <f>T17*'Assumed Values'!$D$8</f>
        <v>0</v>
      </c>
    </row>
    <row r="18" spans="2:21" x14ac:dyDescent="0.25">
      <c r="F18" s="70">
        <f t="shared" si="2"/>
        <v>2032</v>
      </c>
      <c r="G18" s="80">
        <f t="shared" si="6"/>
        <v>4461.7445090409719</v>
      </c>
      <c r="H18" s="79">
        <f t="shared" si="8"/>
        <v>6.7468769621404689E-2</v>
      </c>
      <c r="I18" s="70">
        <f>IF(AND(F18&gt;='Inputs &amp; Outputs'!B$13,F18&lt;'Inputs &amp; Outputs'!B$13+'Inputs &amp; Outputs'!B$19),1,0)</f>
        <v>1</v>
      </c>
      <c r="J18" s="71">
        <f>I18*'Inputs &amp; Outputs'!B$16*'Benefit Calculations'!G18*('Benefit Calculations'!C$4-'Benefit Calculations'!C$5)</f>
        <v>-10.567652216449188</v>
      </c>
      <c r="K18" s="89">
        <f t="shared" si="3"/>
        <v>-3.0287015382511034E-3</v>
      </c>
      <c r="L18" s="72">
        <f>K18*'Assumed Values'!$C$8</f>
        <v>-22.739491149189284</v>
      </c>
      <c r="M18" s="73">
        <f t="shared" si="0"/>
        <v>-8.8187667196164661</v>
      </c>
      <c r="N18" s="88">
        <f>I18*'Inputs &amp; Outputs'!B$16*'Benefit Calculations'!G18*('Benefit Calculations'!D$4-'Benefit Calculations'!D$5)</f>
        <v>12.624516513197479</v>
      </c>
      <c r="O18" s="89">
        <f t="shared" si="4"/>
        <v>3.6182012617411068E-3</v>
      </c>
      <c r="P18" s="72">
        <f>ABS(O18*'Assumed Values'!$C$7)</f>
        <v>6.8926734036168087</v>
      </c>
      <c r="Q18" s="73">
        <f t="shared" si="1"/>
        <v>2.6730975826241652</v>
      </c>
      <c r="T18" s="85">
        <f t="shared" si="5"/>
        <v>-2.7475895762767892E-3</v>
      </c>
      <c r="U18" s="86">
        <f>T18*'Assumed Values'!$D$8</f>
        <v>0</v>
      </c>
    </row>
    <row r="19" spans="2:21" x14ac:dyDescent="0.25">
      <c r="F19" s="70">
        <f t="shared" si="2"/>
        <v>2033</v>
      </c>
      <c r="G19" s="80">
        <f t="shared" si="6"/>
        <v>4762.7729214310248</v>
      </c>
      <c r="H19" s="79">
        <f t="shared" si="8"/>
        <v>6.7468769621404689E-2</v>
      </c>
      <c r="I19" s="70">
        <f>IF(AND(F19&gt;='Inputs &amp; Outputs'!B$13,F19&lt;'Inputs &amp; Outputs'!B$13+'Inputs &amp; Outputs'!B$19),1,0)</f>
        <v>1</v>
      </c>
      <c r="J19" s="71">
        <f>I19*'Inputs &amp; Outputs'!B$16*'Benefit Calculations'!G19*('Benefit Calculations'!C$4-'Benefit Calculations'!C$5)</f>
        <v>-11.280638709279925</v>
      </c>
      <c r="K19" s="89">
        <f t="shared" si="3"/>
        <v>-3.233044304587361E-3</v>
      </c>
      <c r="L19" s="72">
        <f>K19*'Assumed Values'!$C$8</f>
        <v>-24.273696638841905</v>
      </c>
      <c r="M19" s="73">
        <f t="shared" si="0"/>
        <v>-8.7979047287543732</v>
      </c>
      <c r="N19" s="88">
        <f>I19*'Inputs &amp; Outputs'!B$16*'Benefit Calculations'!G19*('Benefit Calculations'!D$4-'Benefit Calculations'!D$5)</f>
        <v>13.476277109408018</v>
      </c>
      <c r="O19" s="89">
        <f t="shared" si="4"/>
        <v>3.8623168491133935E-3</v>
      </c>
      <c r="P19" s="72">
        <f>ABS(O19*'Assumed Values'!$C$7)</f>
        <v>7.3577135975610144</v>
      </c>
      <c r="Q19" s="73">
        <f t="shared" si="1"/>
        <v>2.6667740071044563</v>
      </c>
      <c r="T19" s="85">
        <f t="shared" si="5"/>
        <v>-2.9329660644127806E-3</v>
      </c>
      <c r="U19" s="86">
        <f>T19*'Assumed Values'!$D$8</f>
        <v>0</v>
      </c>
    </row>
    <row r="20" spans="2:21" x14ac:dyDescent="0.25">
      <c r="F20" s="70">
        <f t="shared" si="2"/>
        <v>2034</v>
      </c>
      <c r="G20" s="80">
        <f t="shared" si="6"/>
        <v>5084.1113504261193</v>
      </c>
      <c r="H20" s="79">
        <f t="shared" si="8"/>
        <v>6.7468769621404689E-2</v>
      </c>
      <c r="I20" s="70">
        <f>IF(AND(F20&gt;='Inputs &amp; Outputs'!B$13,F20&lt;'Inputs &amp; Outputs'!B$13+'Inputs &amp; Outputs'!B$19),1,0)</f>
        <v>1</v>
      </c>
      <c r="J20" s="71">
        <f>I20*'Inputs &amp; Outputs'!B$16*'Benefit Calculations'!G20*('Benefit Calculations'!C$4-'Benefit Calculations'!C$5)</f>
        <v>-12.041729523538635</v>
      </c>
      <c r="K20" s="89">
        <f t="shared" si="3"/>
        <v>-3.4511738259493606E-3</v>
      </c>
      <c r="L20" s="72">
        <f>K20*'Assumed Values'!$C$8</f>
        <v>-25.9114130852278</v>
      </c>
      <c r="M20" s="73">
        <f t="shared" si="0"/>
        <v>-8.7770920897661426</v>
      </c>
      <c r="N20" s="88">
        <f>I20*'Inputs &amp; Outputs'!B$16*'Benefit Calculations'!G20*('Benefit Calculations'!D$4-'Benefit Calculations'!D$5)</f>
        <v>14.38550494505688</v>
      </c>
      <c r="O20" s="89">
        <f t="shared" si="4"/>
        <v>4.1229026148110956E-3</v>
      </c>
      <c r="P20" s="72">
        <f>ABS(O20*'Assumed Values'!$C$7)</f>
        <v>7.8541294812151374</v>
      </c>
      <c r="Q20" s="73">
        <f t="shared" si="1"/>
        <v>2.6604653908618117</v>
      </c>
      <c r="T20" s="85">
        <f t="shared" si="5"/>
        <v>-3.1308496761200447E-3</v>
      </c>
      <c r="U20" s="86">
        <f>T20*'Assumed Values'!$D$8</f>
        <v>0</v>
      </c>
    </row>
    <row r="21" spans="2:21" x14ac:dyDescent="0.25">
      <c r="F21" s="70">
        <f t="shared" si="2"/>
        <v>2035</v>
      </c>
      <c r="G21" s="80">
        <f t="shared" si="6"/>
        <v>5427.1300878575876</v>
      </c>
      <c r="H21" s="79">
        <f t="shared" si="8"/>
        <v>6.7468769621404689E-2</v>
      </c>
      <c r="I21" s="70">
        <f>IF(AND(F21&gt;='Inputs &amp; Outputs'!B$13,F21&lt;'Inputs &amp; Outputs'!B$13+'Inputs &amp; Outputs'!B$19),1,0)</f>
        <v>1</v>
      </c>
      <c r="J21" s="71">
        <f>I21*'Inputs &amp; Outputs'!B$16*'Benefit Calculations'!G21*('Benefit Calculations'!C$4-'Benefit Calculations'!C$5)</f>
        <v>-12.854170198605528</v>
      </c>
      <c r="K21" s="89">
        <f t="shared" si="3"/>
        <v>-3.6840202777357594E-3</v>
      </c>
      <c r="L21" s="72">
        <f>K21*'Assumed Values'!$C$8</f>
        <v>-27.659624245240082</v>
      </c>
      <c r="M21" s="73">
        <f t="shared" si="0"/>
        <v>-8.7563286859032026</v>
      </c>
      <c r="N21" s="88">
        <f>I21*'Inputs &amp; Outputs'!B$16*'Benefit Calculations'!G21*('Benefit Calculations'!D$4-'Benefit Calculations'!D$5)</f>
        <v>15.356077264082497</v>
      </c>
      <c r="O21" s="89">
        <f t="shared" si="4"/>
        <v>4.4010697815012713E-3</v>
      </c>
      <c r="P21" s="72">
        <f>ABS(O21*'Assumed Values'!$C$7)</f>
        <v>8.384037933759922</v>
      </c>
      <c r="Q21" s="73">
        <f t="shared" si="1"/>
        <v>2.654171698508025</v>
      </c>
      <c r="T21" s="85">
        <f t="shared" si="5"/>
        <v>-3.3420842516374374E-3</v>
      </c>
      <c r="U21" s="86">
        <f>T21*'Assumed Values'!$D$8</f>
        <v>0</v>
      </c>
    </row>
    <row r="22" spans="2:21" x14ac:dyDescent="0.25">
      <c r="F22" s="70">
        <f t="shared" si="2"/>
        <v>2036</v>
      </c>
      <c r="G22" s="80">
        <f t="shared" si="6"/>
        <v>5793.2918774606451</v>
      </c>
      <c r="H22" s="79">
        <f t="shared" si="8"/>
        <v>6.7468769621404689E-2</v>
      </c>
      <c r="I22" s="70">
        <f>IF(AND(F22&gt;='Inputs &amp; Outputs'!B$13,F22&lt;'Inputs &amp; Outputs'!B$13+'Inputs &amp; Outputs'!B$19),1,0)</f>
        <v>1</v>
      </c>
      <c r="J22" s="71">
        <f>I22*'Inputs &amp; Outputs'!B$16*'Benefit Calculations'!G22*('Benefit Calculations'!C$4-'Benefit Calculations'!C$5)</f>
        <v>-13.72142524640957</v>
      </c>
      <c r="K22" s="89">
        <f t="shared" si="3"/>
        <v>-3.9325765931348964E-3</v>
      </c>
      <c r="L22" s="72">
        <f>K22*'Assumed Values'!$C$8</f>
        <v>-29.525785061256801</v>
      </c>
      <c r="M22" s="73">
        <f t="shared" si="0"/>
        <v>-8.7356144006931782</v>
      </c>
      <c r="N22" s="88">
        <f>I22*'Inputs &amp; Outputs'!B$16*'Benefit Calculations'!G22*('Benefit Calculations'!D$4-'Benefit Calculations'!D$5)</f>
        <v>16.39213290330137</v>
      </c>
      <c r="O22" s="89">
        <f t="shared" si="4"/>
        <v>4.6980045446771059E-3</v>
      </c>
      <c r="P22" s="72">
        <f>ABS(O22*'Assumed Values'!$C$7)</f>
        <v>8.9496986576098863</v>
      </c>
      <c r="Q22" s="73">
        <f t="shared" si="1"/>
        <v>2.6478928947386118</v>
      </c>
      <c r="T22" s="85">
        <f t="shared" si="5"/>
        <v>-3.5675705640664883E-3</v>
      </c>
      <c r="U22" s="86">
        <f>T22*'Assumed Values'!$D$8</f>
        <v>0</v>
      </c>
    </row>
    <row r="23" spans="2:21" x14ac:dyDescent="0.25">
      <c r="F23" s="70">
        <f t="shared" si="2"/>
        <v>2037</v>
      </c>
      <c r="G23" s="80">
        <f t="shared" si="6"/>
        <v>6184.1581524905923</v>
      </c>
      <c r="H23" s="79">
        <f t="shared" si="8"/>
        <v>6.7468769621404689E-2</v>
      </c>
      <c r="I23" s="70">
        <f>IF(AND(F23&gt;='Inputs &amp; Outputs'!B$13,F23&lt;'Inputs &amp; Outputs'!B$13+'Inputs &amp; Outputs'!B$19),1,0)</f>
        <v>1</v>
      </c>
      <c r="J23" s="71">
        <f>I23*'Inputs &amp; Outputs'!B$16*'Benefit Calculations'!G23*('Benefit Calculations'!C$4-'Benefit Calculations'!C$5)</f>
        <v>-14.647192925236904</v>
      </c>
      <c r="K23" s="89">
        <f t="shared" si="3"/>
        <v>-4.1979026973156435E-3</v>
      </c>
      <c r="L23" s="72">
        <f>K23*'Assumed Values'!$C$8</f>
        <v>-31.517853451445852</v>
      </c>
      <c r="M23" s="73">
        <f t="shared" si="0"/>
        <v>-8.7149491179392271</v>
      </c>
      <c r="N23" s="88">
        <f>I23*'Inputs &amp; Outputs'!B$16*'Benefit Calculations'!G23*('Benefit Calculations'!D$4-'Benefit Calculations'!D$5)</f>
        <v>17.498089941757659</v>
      </c>
      <c r="O23" s="89">
        <f t="shared" si="4"/>
        <v>5.0149731309822388E-3</v>
      </c>
      <c r="P23" s="72">
        <f>ABS(O23*'Assumed Values'!$C$7)</f>
        <v>9.5535238145211654</v>
      </c>
      <c r="Q23" s="73">
        <f t="shared" si="1"/>
        <v>2.641628944332604</v>
      </c>
      <c r="T23" s="85">
        <f t="shared" si="5"/>
        <v>-3.8082701605615952E-3</v>
      </c>
      <c r="U23" s="86">
        <f>T23*'Assumed Values'!$D$8</f>
        <v>0</v>
      </c>
    </row>
    <row r="24" spans="2:21" x14ac:dyDescent="0.25">
      <c r="F24" s="70">
        <f t="shared" si="2"/>
        <v>2038</v>
      </c>
      <c r="G24" s="80">
        <f t="shared" si="6"/>
        <v>6601.3956941833121</v>
      </c>
      <c r="H24" s="79">
        <f t="shared" si="8"/>
        <v>6.7468769621404689E-2</v>
      </c>
      <c r="I24" s="70">
        <f>IF(AND(F24&gt;='Inputs &amp; Outputs'!B$13,F24&lt;'Inputs &amp; Outputs'!B$13+'Inputs &amp; Outputs'!B$19),1,0)</f>
        <v>0</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7046.7837394538992</v>
      </c>
      <c r="H25" s="79">
        <f t="shared" si="8"/>
        <v>6.7468769621404689E-2</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7522.2215681429752</v>
      </c>
      <c r="H26" s="79">
        <f t="shared" si="8"/>
        <v>6.7468769621404689E-2</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8029.7366021651751</v>
      </c>
      <c r="H27" s="79">
        <f t="shared" si="8"/>
        <v>6.7468769621404689E-2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8571.493051097219</v>
      </c>
      <c r="H28" s="79">
        <f t="shared" si="8"/>
        <v>6.7468769621404689E-2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9149.8011410731688</v>
      </c>
      <c r="H29" s="79">
        <f t="shared" si="8"/>
        <v>6.7468769621404689E-2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9767.1269663419007</v>
      </c>
      <c r="H30" s="79">
        <f t="shared" si="8"/>
        <v>6.7468769621404689E-2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14451</v>
      </c>
      <c r="H31" s="79">
        <f t="shared" si="8"/>
        <v>6.7468769621404689E-2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15425.991189798919</v>
      </c>
      <c r="H32" s="79">
        <f t="shared" si="8"/>
        <v>6.7468769621404689E-2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16466.763835565282</v>
      </c>
      <c r="H33" s="79">
        <f t="shared" si="8"/>
        <v>6.7468769621404689E-2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17577.756131197115</v>
      </c>
      <c r="H34" s="79">
        <f t="shared" si="8"/>
        <v>6.7468769621404689E-2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18763.705710074086</v>
      </c>
      <c r="H35" s="79">
        <f t="shared" si="8"/>
        <v>6.7468769621404689E-2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20029.669847870911</v>
      </c>
      <c r="H36" s="79">
        <f t="shared" si="8"/>
        <v>6.7468769621404689E-2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-125.87997652686282</v>
      </c>
      <c r="K37" s="71">
        <f t="shared" ref="K37:Q37" si="9">SUM(K4:K36)</f>
        <v>-3.6077349134226715E-2</v>
      </c>
      <c r="L37" s="74">
        <f t="shared" si="9"/>
        <v>-270.86873729977418</v>
      </c>
      <c r="M37" s="75">
        <f t="shared" si="9"/>
        <v>-105.9541363536319</v>
      </c>
      <c r="N37" s="88">
        <f t="shared" si="9"/>
        <v>150.38097486503628</v>
      </c>
      <c r="O37" s="88">
        <f t="shared" si="9"/>
        <v>4.3099364037405247E-2</v>
      </c>
      <c r="P37" s="76">
        <f t="shared" si="9"/>
        <v>82.104288491256995</v>
      </c>
      <c r="Q37" s="75">
        <f t="shared" si="9"/>
        <v>32.116253299445738</v>
      </c>
      <c r="T37" s="85">
        <f>SUM(T4:T36)</f>
        <v>-3.2728793896984326E-2</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2018-10-31T18:52:04Z</dcterms:modified>
</cp:coreProperties>
</file>