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ignalsSH242\"/>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<sst xmlns="http://schemas.openxmlformats.org/spreadsheetml/2006/main" count="440" uniqueCount="285">
  <si>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</si>
  <si>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</si>
  <si>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</si>
  <si>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</si>
  <si>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</si>
  <si>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</si>
  <si>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</si>
  <si>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</si>
  <si>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</si>
  <si>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</si>
  <si>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</si>
  <si>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</si>
  <si>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</si>
  <si>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</si>
  <si>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</si>
  <si>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</si>
  <si>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</si>
  <si>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</si>
  <si>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</si>
  <si>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</si>
  <si>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</si>
  <si>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</si>
  <si>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</si>
  <si>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</si>
  <si>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</si>
  <si>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</si>
  <si>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</si>
  <si>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</si>
  <si>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</si>
  <si>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</si>
  <si>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</si>
  <si>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</si>
  <si>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</si>
  <si>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</si>
  <si>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</si>
  <si>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</si>
  <si>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</si>
  <si>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</si>
  <si>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</si>
  <si>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</si>
  <si>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</si>
  <si>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</si>
  <si>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</si>
  <si>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</si>
  <si>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</si>
  <si>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</si>
  <si>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</si>
  <si>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</si>
  <si>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</si>
  <si>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</si>
  <si>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</si>
  <si>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</si>
  <si>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</si>
  <si>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</si>
  <si>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</si>
  <si>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</si>
  <si>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</si>
  <si>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</si>
  <si>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</si>
  <si>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</si>
  <si>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</si>
  <si>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</si>
  <si>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</si>
  <si>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</si>
  <si>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</si>
  <si>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</si>
  <si>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</si>
  <si>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</si>
  <si>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</si>
  <si>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</si>
  <si>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</si>
  <si>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</si>
  <si>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</si>
  <si>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</si>
  <si>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</si>
  <si>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</si>
  <si>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</si>
  <si>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</si>
  <si>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</si>
  <si>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</si>
  <si>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</si>
  <si>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</si>
  <si>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</si>
  <si>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</si>
  <si>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</si>
  <si>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</si>
  <si>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</si>
  <si>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</si>
  <si>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</si>
  <si>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</si>
  <si>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</si>
  <si>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</si>
  <si>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</si>
  <si>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</si>
  <si>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</si>
  <si>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</si>
  <si>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</si>
  <si>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</si>
  <si>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</si>
  <si>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</si>
  <si>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</si>
  <si>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</si>
  <si>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</si>
  <si>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</si>
  <si>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</si>
  <si>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</si>
  <si>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</si>
  <si>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</si>
  <si>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</si>
  <si>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</si>
  <si>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</si>
  <si>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</si>
  <si>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</si>
  <si>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</si>
  <si>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</si>
  <si>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</si>
  <si>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</si>
  <si>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</si>
  <si>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</si>
  <si>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</si>
  <si>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</si>
  <si>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</si>
  <si>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</si>
  <si>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</si>
  <si>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</si>
  <si>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</si>
  <si>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</si>
  <si>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</si>
  <si>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</si>
  <si>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</si>
  <si>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</si>
  <si>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</si>
  <si>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</si>
  <si>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</si>
  <si>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</si>
  <si>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</si>
  <si>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</si>
  <si>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</si>
  <si>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</si>
  <si>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</si>
  <si>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</si>
  <si>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</si>
  <si>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</si>
  <si>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</si>
  <si>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</si>
  <si>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</si>
  <si>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</si>
  <si>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</si>
  <si>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</si>
  <si>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</si>
  <si>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</si>
  <si>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</si>
  <si>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</si>
  <si>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</si>
  <si>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</si>
  <si>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</si>
  <si>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</si>
  <si>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</si>
  <si>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</si>
  <si>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</si>
  <si>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</si>
  <si>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</si>
  <si>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</si>
  <si>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</si>
  <si>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</si>
  <si>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</si>
  <si>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</si>
  <si>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</si>
  <si>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</si>
  <si>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</si>
  <si>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</si>
  <si>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</si>
  <si>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</si>
  <si>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</si>
  <si>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</si>
  <si>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</si>
  <si>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</si>
  <si>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</si>
  <si>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</si>
  <si>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</si>
  <si>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</si>
  <si>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</si>
  <si>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</si>
  <si>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</si>
  <si>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</si>
  <si>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</si>
  <si>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</si>
  <si>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</si>
  <si>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</si>
  <si>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</si>
  <si>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</si>
  <si>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</si>
  <si>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</si>
  <si>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</si>
  <si>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</si>
  <si>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</si>
  <si>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</si>
  <si>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</si>
  <si>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</si>
  <si>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</si>
  <si>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</si>
  <si>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</si>
  <si>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</si>
  <si>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</si>
  <si>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</si>
  <si>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</si>
  <si>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</si>
  <si>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</si>
  <si>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</si>
  <si>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</si>
  <si>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</si>
  <si>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</si>
  <si>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</si>
  <si>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</si>
  <si>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</si>
  <si>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</si>
  <si>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</si>
  <si>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</si>
  <si>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</si>
  <si>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</si>
  <si>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</si>
  <si>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</si>
  <si>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</si>
  <si>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</si>
  <si>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</si>
  <si>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</si>
  <si>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</si>
  <si>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</si>
  <si>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</si>
  <si>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</si>
  <si>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</si>
  <si>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</si>
  <si>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</si>
  <si>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</si>
  <si>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</si>
  <si>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</si>
  <si>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</si>
  <si>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</si>
  <si>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</si>
  <si>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</si>
  <si>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</si>
  <si>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</si>
  <si>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</si>
  <si>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</si>
  <si>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</si>
  <si>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</si>
  <si>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</si>
  <si>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</si>
  <si>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</si>
  <si>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</si>
  <si>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</si>
  <si>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</si>
  <si>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</si>
  <si>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</si>
  <si>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</si>
  <si>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</si>
  <si>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</si>
  <si>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</si>
  <si>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</si>
  <si>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</si>
  <si>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</si>
  <si>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</si>
  <si>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</si>
  <si>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</si>
  <si>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</si>
  <si>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</si>
  <si>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</si>
  <si>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</si>
  <si>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</si>
  <si>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</si>
  <si>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</si>
  <si>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</si>
  <si>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</si>
  <si>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</si>
  <si>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</si>
  <si>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</si>
  <si>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</si>
  <si>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</si>
  <si>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</si>
  <si>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</si>
  <si>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</si>
  <si>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Integration of Traffic Signals SH242</t>
  </si>
  <si>
    <t>SH 242</t>
  </si>
  <si>
    <t>IH45 North</t>
  </si>
  <si>
    <t>FM 1485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</si>
</sst>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4" zoomScaleNormal="100" workbookViewId="0">
      <selection activeCell="E18" sqref="E18"/>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124</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11</v>
      </c>
      <c r="D12" s="95"/>
      <c r="N12" s="180"/>
      <c r="O12" s="180"/>
      <c r="P12" s="180"/>
      <c r="Q12" s="180"/>
      <c r="R12" s="180"/>
      <c r="S12" s="180"/>
    </row>
    <row r="13" spans="2:19" x14ac:dyDescent="0.25">
      <c r="B13" s="4" t="s">
        <v>77</v>
      </c>
      <c r="C13" s="121">
        <v>343</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17408</v>
      </c>
      <c r="D25" s="99"/>
      <c r="I25" s="49"/>
    </row>
    <row r="26" spans="2:13" x14ac:dyDescent="0.25">
      <c r="I26" s="49"/>
    </row>
    <row r="27" spans="2:13" x14ac:dyDescent="0.25">
      <c r="B27" s="86" t="s">
        <v>269</v>
      </c>
      <c r="C27" s="87">
        <v>8217</v>
      </c>
      <c r="D27" s="99"/>
      <c r="I27" s="49"/>
    </row>
    <row r="28" spans="2:13" x14ac:dyDescent="0.25">
      <c r="B28" s="86" t="s">
        <v>150</v>
      </c>
      <c r="C28" s="87">
        <v>12805</v>
      </c>
      <c r="D28" s="99"/>
      <c r="I28" s="49"/>
    </row>
    <row r="29" spans="2:13" x14ac:dyDescent="0.25">
      <c r="B29" s="86" t="s">
        <v>270</v>
      </c>
      <c r="C29" s="88">
        <v>11264</v>
      </c>
      <c r="D29" s="69"/>
      <c r="I29" s="49"/>
    </row>
    <row r="30" spans="2:13" x14ac:dyDescent="0.25">
      <c r="B30" s="86" t="s">
        <v>151</v>
      </c>
      <c r="C30" s="88">
        <v>21378</v>
      </c>
      <c r="D30" s="69"/>
      <c r="I30" s="49"/>
    </row>
    <row r="31" spans="2:13" x14ac:dyDescent="0.25">
      <c r="B31" s="86" t="s">
        <v>271</v>
      </c>
      <c r="C31" s="87">
        <v>17136</v>
      </c>
      <c r="D31" s="99"/>
      <c r="H31" s="70"/>
    </row>
    <row r="32" spans="2:13" x14ac:dyDescent="0.25">
      <c r="B32" s="86" t="s">
        <v>152</v>
      </c>
      <c r="C32" s="87">
        <v>21507</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13028.738155077484</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23863.175368139215</v>
      </c>
      <c r="G4" s="183" t="s">
        <v>260</v>
      </c>
      <c r="H4" s="183"/>
      <c r="I4" s="183"/>
      <c r="J4" s="183"/>
      <c r="L4" s="136"/>
      <c r="M4" s="137">
        <v>2018</v>
      </c>
      <c r="N4" s="138">
        <f>_2018_Volume_ADT</f>
        <v>17408</v>
      </c>
      <c r="O4" s="139" t="s">
        <v>85</v>
      </c>
      <c r="P4" s="140">
        <f>MIN(B12,1)</f>
        <v>0.6417024599765716</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262494.92904953135</v>
      </c>
      <c r="G5" s="184" t="s">
        <v>261</v>
      </c>
      <c r="H5" s="184"/>
      <c r="I5" s="184"/>
      <c r="J5" s="143">
        <f>SUMPRODUCT(Possible_Crash_Reductions,'Value of Statistical Life'!E5:E11)</f>
        <v>2558117.4630322149</v>
      </c>
      <c r="L5" s="136"/>
      <c r="M5" s="144">
        <f t="shared" ref="M5:M36" si="1">M4+1</f>
        <v>2019</v>
      </c>
      <c r="N5" s="145">
        <f>N4+(N4*O5)</f>
        <v>18210.310766719755</v>
      </c>
      <c r="O5" s="146">
        <f t="shared" ref="O5:O11" si="2">IF(ISERROR(_2025_2045_Demand_Growth),_2018_2045_Demand_Growth,_2018_2025_Demand_Growth)</f>
        <v>4.6088624007338819E-2</v>
      </c>
      <c r="P5" s="147">
        <f t="shared" ref="P5:P11" si="3">P4*(1+IFERROR(_2018_2025_V_C_Growth,_2018_2045_V_C_Growth))</f>
        <v>0.62388417617212533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68248681.552878156</v>
      </c>
      <c r="L6" s="136"/>
      <c r="M6" s="137">
        <f t="shared" si="1"/>
        <v>2020</v>
      </c>
      <c r="N6" s="145">
        <f t="shared" ref="N6:N36" si="6">N5+(N5*O6)</f>
        <v>19049.598932703895</v>
      </c>
      <c r="O6" s="146">
        <f t="shared" si="2"/>
        <v>4.6088624007338819E-2</v>
      </c>
      <c r="P6" s="147">
        <f t="shared" si="3"/>
        <v>0.60656065630819345</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19927.568735403889</v>
      </c>
      <c r="O7" s="146">
        <f t="shared" si="2"/>
        <v>4.6088624007338819E-2</v>
      </c>
      <c r="P7" s="147">
        <f t="shared" si="3"/>
        <v>0.58971816217297512</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20846.002958230318</v>
      </c>
      <c r="O8" s="146">
        <f t="shared" si="2"/>
        <v>4.6088624007338819E-2</v>
      </c>
      <c r="P8" s="147">
        <f t="shared" si="3"/>
        <v>0.57334333702641394</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4.6088624007338819E-2</v>
      </c>
      <c r="D9" s="152" t="s">
        <v>137</v>
      </c>
      <c r="E9" s="154">
        <f>IF('Inputs &amp; Outputs'!$C$8='CRASH RATES'!$D$3, VLOOKUP('Inputs &amp; Outputs'!$C$7,'CRASH RATES'!$C$14:$J$21,3,FALSE), VLOOKUP('Inputs &amp; Outputs'!$C$7,'CRASH RATES'!$C$28:$J$35,3,FALSE))</f>
        <v>1.6733669755541722</v>
      </c>
      <c r="F9" s="155"/>
      <c r="L9" s="136"/>
      <c r="M9" s="144">
        <f t="shared" si="1"/>
        <v>2023</v>
      </c>
      <c r="N9" s="145">
        <f t="shared" si="6"/>
        <v>21806.766550628068</v>
      </c>
      <c r="O9" s="146">
        <f t="shared" si="2"/>
        <v>4.6088624007338819E-2</v>
      </c>
      <c r="P9" s="147">
        <f t="shared" si="3"/>
        <v>0.5574231950077938</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2.1200081011077954E-2</v>
      </c>
      <c r="D10" s="152" t="s">
        <v>138</v>
      </c>
      <c r="E10" s="154">
        <f>IF('Inputs &amp; Outputs'!$C$8='CRASH RATES'!$D$3, VLOOKUP('Inputs &amp; Outputs'!$C$7,'CRASH RATES'!$C$14:$J$21,4,FALSE), VLOOKUP('Inputs &amp; Outputs'!$C$7,'CRASH RATES'!$C$28:$J$35,4,FALSE))</f>
        <v>10.467444485381417</v>
      </c>
      <c r="F10" s="155"/>
      <c r="L10" s="136"/>
      <c r="M10" s="137">
        <f t="shared" si="1"/>
        <v>2024</v>
      </c>
      <c r="N10" s="145">
        <f t="shared" si="6"/>
        <v>22811.81041499578</v>
      </c>
      <c r="O10" s="146">
        <f t="shared" si="2"/>
        <v>4.6088624007338819E-2</v>
      </c>
      <c r="P10" s="147">
        <f t="shared" si="3"/>
        <v>0.54194511083745622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2.7595231410785459E-2</v>
      </c>
      <c r="D11" s="152" t="s">
        <v>139</v>
      </c>
      <c r="E11" s="154">
        <f>IF('Inputs &amp; Outputs'!$C$8='CRASH RATES'!$D$3, VLOOKUP('Inputs &amp; Outputs'!$C$7,'CRASH RATES'!$C$14:$J$21,5,FALSE), VLOOKUP('Inputs &amp; Outputs'!$C$7,'CRASH RATES'!$C$28:$J$35,5,FALSE))</f>
        <v>41.371328204126556</v>
      </c>
      <c r="F11" s="155"/>
      <c r="L11" s="136"/>
      <c r="M11" s="144">
        <f t="shared" si="1"/>
        <v>2025</v>
      </c>
      <c r="N11" s="145">
        <f t="shared" si="6"/>
        <v>23863.175368139215</v>
      </c>
      <c r="O11" s="146">
        <f t="shared" si="2"/>
        <v>4.6088624007338819E-2</v>
      </c>
      <c r="P11" s="147">
        <f t="shared" si="3"/>
        <v>0.52689680980447207</v>
      </c>
      <c r="Q11" s="148">
        <f t="shared" si="4"/>
        <v>1</v>
      </c>
      <c r="R11" s="37">
        <f>IF(M11=Year_Open_to_Traffic?,Calculations!$J$5,Calculations!R10+(Calculations!R10*Calculations!O11*Q11))</f>
        <v>2558117.4630322149</v>
      </c>
      <c r="S11" s="54">
        <f t="shared" si="0"/>
        <v>1</v>
      </c>
      <c r="T11" s="37">
        <f t="shared" si="5"/>
        <v>2558.1174630322148</v>
      </c>
      <c r="U11" s="142">
        <f>T11/(1+Real_Discount_Rate)^(Calculations!M11-'Assumed Values'!$C$5)</f>
        <v>1593.0669898137769</v>
      </c>
    </row>
    <row r="12" spans="1:21" ht="15.75" x14ac:dyDescent="0.25">
      <c r="A12" s="152" t="s">
        <v>75</v>
      </c>
      <c r="B12" s="156">
        <f>'Inputs &amp; Outputs'!C27/_2018_Peak_Period_Capacity</f>
        <v>0.6417024599765716</v>
      </c>
      <c r="D12" s="152" t="s">
        <v>140</v>
      </c>
      <c r="E12" s="154">
        <f>IF('Inputs &amp; Outputs'!$C$8='CRASH RATES'!$D$3, VLOOKUP('Inputs &amp; Outputs'!$C$7,'CRASH RATES'!$C$14:$J$21,6,FALSE), VLOOKUP('Inputs &amp; Outputs'!$C$7,'CRASH RATES'!$C$28:$J$35,6,FALSE))</f>
        <v>63.089495333659421</v>
      </c>
      <c r="F12" s="155"/>
      <c r="L12" s="136"/>
      <c r="M12" s="137">
        <f t="shared" si="1"/>
        <v>2026</v>
      </c>
      <c r="N12" s="145">
        <f t="shared" si="6"/>
        <v>24369.076619125328</v>
      </c>
      <c r="O12" s="146">
        <f t="shared" ref="O12:O36" si="7">IFERROR(_2025_2045_Demand_Growth,_2018_2045_Demand_Growth)</f>
        <v>2.1200081011077954E-2</v>
      </c>
      <c r="P12" s="147">
        <f t="shared" ref="P12:P36" si="8">P11*(1+IFERROR(_2025_2040_V_C_Growth,_2018_2045_V_C_Growth))</f>
        <v>0.53790523572730953</v>
      </c>
      <c r="Q12" s="148">
        <f t="shared" si="4"/>
        <v>1</v>
      </c>
      <c r="R12" s="37">
        <f>IF(M12=Year_Open_to_Traffic?,Calculations!$J$5,Calculations!R11+(Calculations!R11*Calculations!O12*Q12))</f>
        <v>2612349.7604843508</v>
      </c>
      <c r="S12" s="54">
        <f t="shared" si="0"/>
        <v>1</v>
      </c>
      <c r="T12" s="37">
        <f t="shared" si="5"/>
        <v>2612.349760484351</v>
      </c>
      <c r="U12" s="142">
        <f>T12/(1+Real_Discount_Rate)^(Calculations!M12-'Assumed Values'!$C$5)</f>
        <v>1520.4113449101897</v>
      </c>
    </row>
    <row r="13" spans="1:21" ht="15.75" x14ac:dyDescent="0.25">
      <c r="A13" s="152" t="s">
        <v>74</v>
      </c>
      <c r="B13" s="156">
        <f>_2025_Peak_Period_Volume/_2025_Peak_Period_Capacity</f>
        <v>0.52689680980447184</v>
      </c>
      <c r="D13" s="152" t="s">
        <v>141</v>
      </c>
      <c r="E13" s="154">
        <f>IF('Inputs &amp; Outputs'!$C$8='CRASH RATES'!$D$3, VLOOKUP('Inputs &amp; Outputs'!$C$7,'CRASH RATES'!$C$14:$J$21,7,FALSE), VLOOKUP('Inputs &amp; Outputs'!$C$7,'CRASH RATES'!$C$28:$J$35,7,FALSE))</f>
        <v>590.98337079199359</v>
      </c>
      <c r="F13" s="155"/>
      <c r="L13" s="136"/>
      <c r="M13" s="144">
        <f t="shared" si="1"/>
        <v>2027</v>
      </c>
      <c r="N13" s="145">
        <f t="shared" si="6"/>
        <v>24885.70301761595</v>
      </c>
      <c r="O13" s="146">
        <f t="shared" si="7"/>
        <v>2.1200081011077954E-2</v>
      </c>
      <c r="P13" s="147">
        <f t="shared" si="8"/>
        <v>0.54914366008445825</v>
      </c>
      <c r="Q13" s="148">
        <f t="shared" si="4"/>
        <v>1</v>
      </c>
      <c r="R13" s="37">
        <f>IF(M13=Year_Open_to_Traffic?,Calculations!$J$5,Calculations!R12+(Calculations!R12*Calculations!O13*Q13))</f>
        <v>2667731.787035889</v>
      </c>
      <c r="S13" s="54">
        <f t="shared" si="0"/>
        <v>1</v>
      </c>
      <c r="T13" s="37">
        <f t="shared" si="5"/>
        <v>2667.7317870358888</v>
      </c>
      <c r="U13" s="142">
        <f>T13/(1+Real_Discount_Rate)^(Calculations!M13-'Assumed Values'!$C$5)</f>
        <v>1451.0693351331283</v>
      </c>
    </row>
    <row r="14" spans="1:21" ht="15.75" x14ac:dyDescent="0.25">
      <c r="A14" s="152" t="s">
        <v>148</v>
      </c>
      <c r="B14" s="156">
        <f>_2045_Peak_Period_Volume/_2045_Peak_Period_Capacity</f>
        <v>0.79676384432975311</v>
      </c>
      <c r="D14" s="152" t="s">
        <v>142</v>
      </c>
      <c r="E14" s="154">
        <f>IF('Inputs &amp; Outputs'!$C$8='CRASH RATES'!$D$3, VLOOKUP('Inputs &amp; Outputs'!$C$7,'CRASH RATES'!$C$14:$J$21,8,FALSE), VLOOKUP('Inputs &amp; Outputs'!$C$7,'CRASH RATES'!$C$28:$J$35,8,FALSE))</f>
        <v>22.750670157002467</v>
      </c>
      <c r="F14" s="155"/>
      <c r="L14" s="136"/>
      <c r="M14" s="137">
        <f>M13+1</f>
        <v>2028</v>
      </c>
      <c r="N14" s="145">
        <f t="shared" si="6"/>
        <v>25413.281937607037</v>
      </c>
      <c r="O14" s="146">
        <f t="shared" si="7"/>
        <v>2.1200081011077954E-2</v>
      </c>
      <c r="P14" s="147">
        <f>P13*(1+IFERROR(_2025_2040_V_C_Growth,_2018_2045_V_C_Growth))</f>
        <v>0.56061688822049294</v>
      </c>
      <c r="Q14" s="148">
        <f t="shared" si="4"/>
        <v>1</v>
      </c>
      <c r="R14" s="37">
        <f>IF(M14=Year_Open_to_Traffic?,Calculations!$J$5,Calculations!R13+(Calculations!R13*Calculations!O14*Q14))</f>
        <v>2724287.9170368775</v>
      </c>
      <c r="S14" s="54">
        <f t="shared" si="0"/>
        <v>1</v>
      </c>
      <c r="T14" s="37">
        <f t="shared" si="5"/>
        <v>2724.2879170368774</v>
      </c>
      <c r="U14" s="142">
        <f>T14/(1+Real_Discount_Rate)^(Calculations!M14-'Assumed Values'!$C$5)</f>
        <v>1384.8898341968613</v>
      </c>
    </row>
    <row r="15" spans="1:21" ht="15.75" x14ac:dyDescent="0.25">
      <c r="A15" s="152" t="s">
        <v>80</v>
      </c>
      <c r="B15" s="153">
        <f>(B13/B12)^(1/(2025-2018))-1</f>
        <v>-2.7767205076784096E-2</v>
      </c>
      <c r="L15" s="136"/>
      <c r="M15" s="144">
        <f>M14+1</f>
        <v>2029</v>
      </c>
      <c r="N15" s="145">
        <f t="shared" si="6"/>
        <v>25952.045573441668</v>
      </c>
      <c r="O15" s="146">
        <f t="shared" si="7"/>
        <v>2.1200081011077954E-2</v>
      </c>
      <c r="P15" s="147">
        <f>P14*(1+IFERROR(_2025_2040_V_C_Growth,_2018_2045_V_C_Growth))</f>
        <v>0.57232982587778714</v>
      </c>
      <c r="Q15" s="148">
        <f t="shared" si="4"/>
        <v>1</v>
      </c>
      <c r="R15" s="37">
        <f>IF(M15=Year_Open_to_Traffic?,Calculations!$J$5,Calculations!R14+(Calculations!R14*Calculations!O15*Q15))</f>
        <v>2782043.0415755599</v>
      </c>
      <c r="S15" s="54">
        <f t="shared" si="0"/>
        <v>1</v>
      </c>
      <c r="T15" s="37">
        <f t="shared" si="5"/>
        <v>2782.04304157556</v>
      </c>
      <c r="U15" s="142">
        <f>T15/(1+Real_Discount_Rate)^(Calculations!M15-'Assumed Values'!$C$5)</f>
        <v>1321.7286082927599</v>
      </c>
    </row>
    <row r="16" spans="1:21" ht="15.75" x14ac:dyDescent="0.25">
      <c r="A16" s="152" t="s">
        <v>108</v>
      </c>
      <c r="B16" s="153">
        <f>(B14/B13)^(1/(2045-2025))-1</f>
        <v>2.0892944724646645E-2</v>
      </c>
      <c r="D16" s="157" t="s">
        <v>136</v>
      </c>
      <c r="E16" s="151"/>
      <c r="L16" s="136"/>
      <c r="M16" s="137">
        <f t="shared" si="1"/>
        <v>2030</v>
      </c>
      <c r="N16" s="145">
        <f t="shared" si="6"/>
        <v>26502.231042001818</v>
      </c>
      <c r="O16" s="146">
        <f t="shared" si="7"/>
        <v>2.1200081011077954E-2</v>
      </c>
      <c r="P16" s="147">
        <f t="shared" si="8"/>
        <v>0.58428748129411834</v>
      </c>
      <c r="Q16" s="148">
        <f t="shared" si="4"/>
        <v>1</v>
      </c>
      <c r="R16" s="37">
        <f>IF(M16=Year_Open_to_Traffic?,Calculations!$J$5,Calculations!R15+(Calculations!R15*Calculations!O16*Q16))</f>
        <v>2841022.5794332675</v>
      </c>
      <c r="S16" s="54">
        <f t="shared" si="0"/>
        <v>1</v>
      </c>
      <c r="T16" s="37">
        <f t="shared" si="5"/>
        <v>2841.0225794332673</v>
      </c>
      <c r="U16" s="142">
        <f>T16/(1+Real_Discount_Rate)^(Calculations!M16-'Assumed Values'!$C$5)</f>
        <v>1261.4480017413325</v>
      </c>
    </row>
    <row r="17" spans="1:21" ht="15.75" x14ac:dyDescent="0.25">
      <c r="A17" s="152" t="s">
        <v>109</v>
      </c>
      <c r="B17" s="153">
        <f>(B14/B12)^(1/(2045-2018))-1</f>
        <v>8.0482735419549201E-3</v>
      </c>
      <c r="D17" s="152" t="s">
        <v>89</v>
      </c>
      <c r="E17" s="158">
        <f>($E$6*Death_Rate)/100000000</f>
        <v>1.1420508983569955</v>
      </c>
      <c r="L17" s="136"/>
      <c r="M17" s="144">
        <f t="shared" si="1"/>
        <v>2031</v>
      </c>
      <c r="N17" s="145">
        <f t="shared" si="6"/>
        <v>27064.080487066563</v>
      </c>
      <c r="O17" s="146">
        <f t="shared" si="7"/>
        <v>2.1200081011077954E-2</v>
      </c>
      <c r="P17" s="147">
        <f t="shared" si="8"/>
        <v>0.59649496734409935</v>
      </c>
      <c r="Q17" s="148">
        <f t="shared" si="4"/>
        <v>1</v>
      </c>
      <c r="R17" s="37">
        <f>IF(M17=Year_Open_to_Traffic?,Calculations!$J$5,Calculations!R16+(Calculations!R16*Calculations!O17*Q17))</f>
        <v>2901252.4882715545</v>
      </c>
      <c r="S17" s="54">
        <f t="shared" si="0"/>
        <v>1</v>
      </c>
      <c r="T17" s="37">
        <f t="shared" si="5"/>
        <v>2901.2524882715543</v>
      </c>
      <c r="U17" s="142">
        <f>T17/(1+Real_Discount_Rate)^(Calculations!M17-'Assumed Values'!$C$5)</f>
        <v>1203.9166369808515</v>
      </c>
    </row>
    <row r="18" spans="1:21" ht="15.75" x14ac:dyDescent="0.25">
      <c r="D18" s="152" t="s">
        <v>94</v>
      </c>
      <c r="E18" s="158">
        <f>($E$6*Incap_Injry_Rate)/100000000</f>
        <v>7.143892853552269</v>
      </c>
      <c r="L18" s="136"/>
      <c r="M18" s="137">
        <f t="shared" si="1"/>
        <v>2032</v>
      </c>
      <c r="N18" s="145">
        <f t="shared" si="6"/>
        <v>27637.841185882709</v>
      </c>
      <c r="O18" s="146">
        <f t="shared" si="7"/>
        <v>2.1200081011077954E-2</v>
      </c>
      <c r="P18" s="147">
        <f t="shared" si="8"/>
        <v>0.60895750372534951</v>
      </c>
      <c r="Q18" s="148">
        <f t="shared" si="4"/>
        <v>1</v>
      </c>
      <c r="R18" s="37">
        <f>IF(M18=Year_Open_to_Traffic?,Calculations!$J$5,Calculations!R17+(Calculations!R17*Calculations!O18*Q18))</f>
        <v>2962759.2760565029</v>
      </c>
      <c r="S18" s="54">
        <f t="shared" si="0"/>
        <v>1</v>
      </c>
      <c r="T18" s="37">
        <f t="shared" si="5"/>
        <v>2962.759276056503</v>
      </c>
      <c r="U18" s="142">
        <f>T18/(1+Real_Discount_Rate)^(Calculations!M18-'Assumed Values'!$C$5)</f>
        <v>1149.0091282387198</v>
      </c>
    </row>
    <row r="19" spans="1:21" ht="15.75" x14ac:dyDescent="0.25">
      <c r="D19" s="152" t="s">
        <v>93</v>
      </c>
      <c r="E19" s="158">
        <f>($E$6*Nonincap_Injry_Rate)/100000000</f>
        <v>28.235386040230399</v>
      </c>
      <c r="L19" s="136"/>
      <c r="M19" s="144">
        <f t="shared" si="1"/>
        <v>2033</v>
      </c>
      <c r="N19" s="145">
        <f t="shared" si="6"/>
        <v>28223.765657994729</v>
      </c>
      <c r="O19" s="146">
        <f t="shared" si="7"/>
        <v>2.1200081011077954E-2</v>
      </c>
      <c r="P19" s="147">
        <f t="shared" si="8"/>
        <v>0.621680419190342</v>
      </c>
      <c r="Q19" s="148">
        <f t="shared" si="4"/>
        <v>1</v>
      </c>
      <c r="R19" s="37">
        <f>IF(M19=Year_Open_to_Traffic?,Calculations!$J$5,Calculations!R18+(Calculations!R18*Calculations!O19*Q19))</f>
        <v>3025570.0127252233</v>
      </c>
      <c r="S19" s="54">
        <f t="shared" si="0"/>
        <v>1</v>
      </c>
      <c r="T19" s="37">
        <f t="shared" si="5"/>
        <v>3025.5700127252235</v>
      </c>
      <c r="U19" s="142">
        <f>T19/(1+Real_Discount_Rate)^(Calculations!M19-'Assumed Values'!$C$5)</f>
        <v>1096.6058082615407</v>
      </c>
    </row>
    <row r="20" spans="1:21" ht="15.75" x14ac:dyDescent="0.25">
      <c r="D20" s="152" t="s">
        <v>92</v>
      </c>
      <c r="E20" s="158">
        <f>($E$6*Poss_Injry_Rate/100000000)</f>
        <v>43.057748763587142</v>
      </c>
      <c r="L20" s="136"/>
      <c r="M20" s="137">
        <f t="shared" si="1"/>
        <v>2034</v>
      </c>
      <c r="N20" s="145">
        <f t="shared" si="6"/>
        <v>28822.111776381898</v>
      </c>
      <c r="O20" s="146">
        <f t="shared" si="7"/>
        <v>2.1200081011077954E-2</v>
      </c>
      <c r="P20" s="147">
        <f t="shared" si="8"/>
        <v>0.63466915382488098</v>
      </c>
      <c r="Q20" s="148">
        <f t="shared" si="4"/>
        <v>1</v>
      </c>
      <c r="R20" s="37">
        <f>IF(M20=Year_Open_to_Traffic?,Calculations!$J$5,Calculations!R19+(Calculations!R19*Calculations!O20*Q20))</f>
        <v>3089712.3420996862</v>
      </c>
      <c r="S20" s="54">
        <f t="shared" si="0"/>
        <v>1</v>
      </c>
      <c r="T20" s="37">
        <f t="shared" si="5"/>
        <v>3089.7123420996863</v>
      </c>
      <c r="U20" s="142">
        <f>T20/(1+Real_Discount_Rate)^(Calculations!M20-'Assumed Values'!$C$5)</f>
        <v>1046.5924675083218</v>
      </c>
    </row>
    <row r="21" spans="1:21" ht="15.75" x14ac:dyDescent="0.25">
      <c r="D21" s="152" t="s">
        <v>91</v>
      </c>
      <c r="E21" s="158">
        <f>($E$6*Non_Injry_Rate)/100000000</f>
        <v>403.33835876229284</v>
      </c>
      <c r="L21" s="136"/>
      <c r="M21" s="144">
        <f>M20+1</f>
        <v>2035</v>
      </c>
      <c r="N21" s="145">
        <f t="shared" si="6"/>
        <v>29433.142880951538</v>
      </c>
      <c r="O21" s="146">
        <f t="shared" si="7"/>
        <v>2.1200081011077954E-2</v>
      </c>
      <c r="P21" s="147">
        <f>P20*(1+IFERROR(_2025_2040_V_C_Growth,_2018_2045_V_C_Growth))</f>
        <v>0.6479292613741825</v>
      </c>
      <c r="Q21" s="148">
        <f t="shared" si="4"/>
        <v>1</v>
      </c>
      <c r="R21" s="37">
        <f>IF(M21=Year_Open_to_Traffic?,Calculations!$J$5,Calculations!R20+(Calculations!R20*Calculations!O21*Q21))</f>
        <v>3155214.4940531268</v>
      </c>
      <c r="S21" s="54">
        <f t="shared" si="0"/>
        <v>0</v>
      </c>
      <c r="T21" s="37">
        <f t="shared" si="5"/>
        <v>0</v>
      </c>
      <c r="U21" s="142">
        <f>T21/(1+Real_Discount_Rate)^(Calculations!M21-'Assumed Values'!$C$5)</f>
        <v>0</v>
      </c>
    </row>
    <row r="22" spans="1:21" ht="15.75" x14ac:dyDescent="0.25">
      <c r="D22" s="152" t="s">
        <v>90</v>
      </c>
      <c r="E22" s="158">
        <f>($E$6*Unkn_Injry_Rate)/100000000</f>
        <v>15.527032426598298</v>
      </c>
      <c r="L22" s="136"/>
      <c r="M22" s="137">
        <f>M21+1</f>
        <v>2036</v>
      </c>
      <c r="N22" s="145">
        <f t="shared" si="6"/>
        <v>30057.127894438345</v>
      </c>
      <c r="O22" s="146">
        <f t="shared" si="7"/>
        <v>2.1200081011077954E-2</v>
      </c>
      <c r="P22" s="147">
        <f t="shared" si="8"/>
        <v>0.66146641161755437</v>
      </c>
      <c r="Q22" s="148">
        <f t="shared" si="4"/>
        <v>1</v>
      </c>
      <c r="R22" s="37">
        <f>IF(M22=Year_Open_to_Traffic?,Calculations!$J$5,Calculations!R21+(Calculations!R21*Calculations!O22*Q22))</f>
        <v>3222105.2969343802</v>
      </c>
      <c r="S22" s="54">
        <f t="shared" si="0"/>
        <v>0</v>
      </c>
      <c r="T22" s="37">
        <f t="shared" si="5"/>
        <v>0</v>
      </c>
      <c r="U22" s="142">
        <f>T22/(1+Real_Discount_Rate)^(Calculations!M22-'Assumed Values'!$C$5)</f>
        <v>0</v>
      </c>
    </row>
    <row r="23" spans="1:21" ht="15.75" x14ac:dyDescent="0.25">
      <c r="L23" s="136"/>
      <c r="M23" s="144">
        <f t="shared" si="1"/>
        <v>2037</v>
      </c>
      <c r="N23" s="145">
        <f t="shared" si="6"/>
        <v>30694.341440760767</v>
      </c>
      <c r="O23" s="146">
        <f t="shared" si="7"/>
        <v>2.1200081011077954E-2</v>
      </c>
      <c r="P23" s="147">
        <f t="shared" si="8"/>
        <v>0.67528639279269032</v>
      </c>
      <c r="Q23" s="148">
        <f t="shared" si="4"/>
        <v>1</v>
      </c>
      <c r="R23" s="37">
        <f>IF(M23=Year_Open_to_Traffic?,Calculations!$J$5,Calculations!R22+(Calculations!R22*Calculations!O23*Q23))</f>
        <v>3290414.1902556126</v>
      </c>
      <c r="S23" s="54">
        <f t="shared" si="0"/>
        <v>0</v>
      </c>
      <c r="T23" s="37">
        <f t="shared" si="5"/>
        <v>0</v>
      </c>
      <c r="U23" s="142">
        <f>T23/(1+Real_Discount_Rate)^(Calculations!M23-'Assumed Values'!$C$5)</f>
        <v>0</v>
      </c>
    </row>
    <row r="24" spans="1:21" ht="15.75" x14ac:dyDescent="0.25">
      <c r="L24" s="136"/>
      <c r="M24" s="137">
        <f t="shared" si="1"/>
        <v>2038</v>
      </c>
      <c r="N24" s="145">
        <f t="shared" si="6"/>
        <v>31345.063965886584</v>
      </c>
      <c r="O24" s="146">
        <f t="shared" si="7"/>
        <v>2.1200081011077954E-2</v>
      </c>
      <c r="P24" s="147">
        <f t="shared" si="8"/>
        <v>0.68939511407061405</v>
      </c>
      <c r="Q24" s="148">
        <f t="shared" si="4"/>
        <v>1</v>
      </c>
      <c r="R24" s="37">
        <f>IF(M24=Year_Open_to_Traffic?,Calculations!$J$5,Calculations!R23+(Calculations!R23*Calculations!O24*Q24))</f>
        <v>3360171.2376490319</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32009.581861260798</v>
      </c>
      <c r="O25" s="146">
        <f t="shared" si="7"/>
        <v>2.1200081011077954E-2</v>
      </c>
      <c r="P25" s="147">
        <f t="shared" si="8"/>
        <v>0.70379860808233285</v>
      </c>
      <c r="Q25" s="148">
        <f t="shared" si="4"/>
        <v>1</v>
      </c>
      <c r="R25" s="37">
        <f>IF(M25=Year_Open_to_Traffic?,Calculations!$J$5,Calculations!R24+(Calculations!R24*Calculations!O25*Q25))</f>
        <v>3431407.1400982854</v>
      </c>
      <c r="S25" s="54">
        <f t="shared" si="0"/>
        <v>0</v>
      </c>
      <c r="T25" s="37">
        <f t="shared" si="5"/>
        <v>0</v>
      </c>
      <c r="U25" s="142">
        <f>T25/(1+Real_Discount_Rate)^(Calculations!M25-'Assumed Values'!$C$5)</f>
        <v>0</v>
      </c>
    </row>
    <row r="26" spans="1:21" ht="15.75" x14ac:dyDescent="0.25">
      <c r="A26" s="181"/>
      <c r="B26" s="181"/>
      <c r="D26" s="160">
        <f>Calculations!E17</f>
        <v>1.1420508983569955</v>
      </c>
      <c r="E26" s="160">
        <f>Calculations!E18</f>
        <v>7.143892853552269</v>
      </c>
      <c r="F26" s="160">
        <f>Calculations!E19</f>
        <v>28.235386040230399</v>
      </c>
      <c r="G26" s="160">
        <f>Calculations!E20</f>
        <v>43.057748763587142</v>
      </c>
      <c r="H26" s="160">
        <f>Calculations!E21</f>
        <v>403.33835876229284</v>
      </c>
      <c r="I26" s="160">
        <f>Calculations!E22</f>
        <v>15.527032426598298</v>
      </c>
      <c r="J26" s="182"/>
      <c r="L26" s="136"/>
      <c r="M26" s="137">
        <f t="shared" si="1"/>
        <v>2040</v>
      </c>
      <c r="N26" s="145">
        <f t="shared" si="6"/>
        <v>32688.187589850259</v>
      </c>
      <c r="O26" s="146">
        <f t="shared" si="7"/>
        <v>2.1200081011077954E-2</v>
      </c>
      <c r="P26" s="147">
        <f t="shared" si="8"/>
        <v>0.71850303349828026</v>
      </c>
      <c r="Q26" s="148">
        <f t="shared" si="4"/>
        <v>1</v>
      </c>
      <c r="R26" s="37">
        <f>IF(M26=Year_Open_to_Traffic?,Calculations!$J$5,Calculations!R25+(Calculations!R25*Calculations!O26*Q26))</f>
        <v>3504153.2494503604</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2.4553559737659148E-2</v>
      </c>
      <c r="F27" s="163">
        <f>F$26*'Value of Statistical Life'!F17*Appropriate_Crash_Reduction_Factor</f>
        <v>0.23568076727780315</v>
      </c>
      <c r="G27" s="163">
        <f>G$26*'Value of Statistical Life'!G17*Appropriate_Crash_Reduction_Factor</f>
        <v>1.0091444577721917</v>
      </c>
      <c r="H27" s="163">
        <f>H$26*'Value of Statistical Life'!H17*Appropriate_Crash_Reduction_Factor</f>
        <v>37.322511689710005</v>
      </c>
      <c r="I27" s="163">
        <f>I$26*'Value of Statistical Life'!I17*Appropriate_Crash_Reduction_Factor</f>
        <v>0.67815866826410731</v>
      </c>
      <c r="J27" s="163">
        <f t="shared" ref="J27:J33" si="9">SUM(D27:I27)</f>
        <v>39.270049142761771</v>
      </c>
      <c r="K27" s="164"/>
      <c r="L27" s="136"/>
      <c r="M27" s="144">
        <f t="shared" si="1"/>
        <v>2041</v>
      </c>
      <c r="N27" s="145">
        <f t="shared" si="6"/>
        <v>33381.179814860399</v>
      </c>
      <c r="O27" s="146">
        <f t="shared" si="7"/>
        <v>2.1200081011077954E-2</v>
      </c>
      <c r="P27" s="147">
        <f t="shared" si="8"/>
        <v>0.73351467766165079</v>
      </c>
      <c r="Q27" s="148">
        <f t="shared" si="4"/>
        <v>1</v>
      </c>
      <c r="R27" s="37">
        <f>IF(M27=Year_Open_to_Traffic?,Calculations!$J$5,Calculations!R26+(Calculations!R26*Calculations!O27*Q27))</f>
        <v>3578441.5822139401</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0.39612171483661984</v>
      </c>
      <c r="F28" s="163">
        <f>F$26*'Value of Statistical Life'!F18*Appropriate_Crash_Reduction_Factor</f>
        <v>2.1696917694894244</v>
      </c>
      <c r="G28" s="163">
        <f>G$26*'Value of Statistical Life'!G18*Appropriate_Crash_Reduction_Factor</f>
        <v>2.9686595462542793</v>
      </c>
      <c r="H28" s="163">
        <f>H$26*'Value of Statistical Life'!H18*Appropriate_Crash_Reduction_Factor</f>
        <v>2.9270264695379593</v>
      </c>
      <c r="I28" s="163">
        <f>I$26*'Value of Statistical Life'!I18*Appropriate_Crash_Reduction_Factor</f>
        <v>0.64808280645378646</v>
      </c>
      <c r="J28" s="163">
        <f t="shared" si="9"/>
        <v>9.1095823065720687</v>
      </c>
      <c r="K28" s="164"/>
      <c r="L28" s="136"/>
      <c r="M28" s="137">
        <f t="shared" si="1"/>
        <v>2042</v>
      </c>
      <c r="N28" s="145">
        <f t="shared" si="6"/>
        <v>34088.863531180803</v>
      </c>
      <c r="O28" s="146">
        <f t="shared" si="7"/>
        <v>2.1200081011077954E-2</v>
      </c>
      <c r="P28" s="147">
        <f t="shared" si="8"/>
        <v>0.74883995927675262</v>
      </c>
      <c r="Q28" s="148">
        <f t="shared" si="4"/>
        <v>1</v>
      </c>
      <c r="R28" s="37">
        <f>IF(M28=Year_Open_to_Traffic?,Calculations!$J$5,Calculations!R27+(Calculations!R27*Calculations!O28*Q28))</f>
        <v>3654304.8336502854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0.14936451178207086</v>
      </c>
      <c r="F29" s="163">
        <f>F$26*'Value of Statistical Life'!F19*Appropriate_Crash_Reduction_Factor</f>
        <v>0.30770923706643089</v>
      </c>
      <c r="G29" s="163">
        <f>G$26*'Value of Statistical Life'!G19*Appropriate_Crash_Reduction_Factor</f>
        <v>0.27518207234808539</v>
      </c>
      <c r="H29" s="163">
        <f>H$26*'Value of Statistical Life'!H19*Appropriate_Crash_Reduction_Factor</f>
        <v>7.986099503493399E-2</v>
      </c>
      <c r="I29" s="163">
        <f>I$26*'Value of Statistical Life'!I19*Appropriate_Crash_Reduction_Factor</f>
        <v>0.13775583168878011</v>
      </c>
      <c r="J29" s="163">
        <f t="shared" si="9"/>
        <v>0.94987264792030124</v>
      </c>
      <c r="K29" s="164"/>
      <c r="L29" s="136"/>
      <c r="M29" s="144">
        <f t="shared" si="1"/>
        <v>2043</v>
      </c>
      <c r="N29" s="145">
        <f t="shared" si="6"/>
        <v>34811.550199617413</v>
      </c>
      <c r="O29" s="146">
        <f t="shared" si="7"/>
        <v>2.1200081011077954E-2</v>
      </c>
      <c r="P29" s="147">
        <f t="shared" si="8"/>
        <v>0.76448543115352841</v>
      </c>
      <c r="Q29" s="148">
        <f t="shared" si="4"/>
        <v>1</v>
      </c>
      <c r="R29" s="37">
        <f>IF(M29=Year_Open_to_Traffic?,Calculations!$J$5,Calculations!R28+(Calculations!R28*Calculations!O29*Q29))</f>
        <v>3731776.392162845</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0.10313638112673412</v>
      </c>
      <c r="F30" s="163">
        <f>F$26*'Value of Statistical Life'!F20*Appropriate_Crash_Reduction_Factor</f>
        <v>9.0099116854375216E-2</v>
      </c>
      <c r="G30" s="163">
        <f>G$26*'Value of Statistical Life'!G20*Appropriate_Crash_Reduction_Factor</f>
        <v>4.6114848925801838E-2</v>
      </c>
      <c r="H30" s="163">
        <f>H$26*'Value of Statistical Life'!H20*Appropriate_Crash_Reduction_Factor</f>
        <v>3.226706870098343E-3</v>
      </c>
      <c r="I30" s="163">
        <f>I$26*'Value of Statistical Life'!I20*Appropriate_Crash_Reduction_Factor</f>
        <v>7.4793715198923999E-2</v>
      </c>
      <c r="J30" s="163">
        <f t="shared" si="9"/>
        <v>0.31737076897593353</v>
      </c>
      <c r="K30" s="164"/>
      <c r="L30" s="136"/>
      <c r="M30" s="144">
        <f t="shared" si="1"/>
        <v>2044</v>
      </c>
      <c r="N30" s="145">
        <f t="shared" si="6"/>
        <v>35549.557883970512</v>
      </c>
      <c r="O30" s="146">
        <f t="shared" si="7"/>
        <v>2.1200081011077954E-2</v>
      </c>
      <c r="P30" s="147">
        <f t="shared" si="8"/>
        <v>0.78045778300941671</v>
      </c>
      <c r="Q30" s="148">
        <f t="shared" si="4"/>
        <v>1</v>
      </c>
      <c r="R30" s="37">
        <f>IF(M30=Year_Open_to_Traffic?,Calculations!$J$5,Calculations!R29+(Calculations!R29*Calculations!O30*Q30))</f>
        <v>3810890.3539919257</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2.8475556914259344E-2</v>
      </c>
      <c r="F31" s="163">
        <f>F$26*'Value of Statistical Life'!F21*Appropriate_Crash_Reduction_Factor</f>
        <v>1.7505939344942847E-2</v>
      </c>
      <c r="G31" s="163">
        <f>G$26*'Value of Statistical Life'!G21*Appropriate_Crash_Reduction_Factor</f>
        <v>6.114200324429375E-3</v>
      </c>
      <c r="H31" s="163">
        <f>H$26*'Value of Statistical Life'!H21*Appropriate_Crash_Reduction_Factor</f>
        <v>0</v>
      </c>
      <c r="I31" s="163">
        <f>I$26*'Value of Statistical Life'!I21*Appropriate_Crash_Reduction_Factor</f>
        <v>9.5801790072111495E-3</v>
      </c>
      <c r="J31" s="163">
        <f t="shared" si="9"/>
        <v>6.1675875590842713E-2</v>
      </c>
      <c r="K31" s="164"/>
      <c r="L31" s="136"/>
      <c r="M31" s="144">
        <f t="shared" si="1"/>
        <v>2045</v>
      </c>
      <c r="N31" s="145">
        <f t="shared" si="6"/>
        <v>36303.211391018689</v>
      </c>
      <c r="O31" s="146">
        <f t="shared" si="7"/>
        <v>2.1200081011077954E-2</v>
      </c>
      <c r="P31" s="147">
        <f t="shared" si="8"/>
        <v>0.79676384432975267</v>
      </c>
      <c r="Q31" s="148">
        <f t="shared" si="4"/>
        <v>1</v>
      </c>
      <c r="R31" s="37">
        <f>IF(M31=Year_Open_to_Traffic?,Calculations!$J$5,Calculations!R30+(Calculations!R30*Calculations!O31*Q31))</f>
        <v>3891681.5382208899</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1.2737560957883696E-2</v>
      </c>
      <c r="F32" s="163">
        <f>F$26*'Value of Statistical Life'!F22*Appropriate_Crash_Reduction_Factor</f>
        <v>2.8517739900632707E-3</v>
      </c>
      <c r="G32" s="163">
        <f>G$26*'Value of Statistical Life'!G22*Appropriate_Crash_Reduction_Factor</f>
        <v>5.5975073392663282E-4</v>
      </c>
      <c r="H32" s="163">
        <f>H$26*'Value of Statistical Life'!H22*Appropriate_Crash_Reduction_Factor</f>
        <v>1.2100150762868788E-3</v>
      </c>
      <c r="I32" s="163">
        <f>I$26*'Value of Statistical Life'!I22*Appropriate_Crash_Reduction_Factor</f>
        <v>4.3320420470209257E-3</v>
      </c>
      <c r="J32" s="163">
        <f t="shared" si="9"/>
        <v>2.1691142805181404E-2</v>
      </c>
      <c r="K32" s="164"/>
      <c r="L32" s="136"/>
      <c r="M32" s="144">
        <f t="shared" si="1"/>
        <v>2046</v>
      </c>
      <c r="N32" s="145">
        <f t="shared" si="6"/>
        <v>37072.842413470571</v>
      </c>
      <c r="O32" s="146">
        <f t="shared" si="7"/>
        <v>2.1200081011077954E-2</v>
      </c>
      <c r="P32" s="147">
        <f t="shared" si="8"/>
        <v>0.81341058728793114</v>
      </c>
      <c r="Q32" s="148">
        <f t="shared" si="4"/>
        <v>1</v>
      </c>
      <c r="R32" s="37">
        <f>IF(M32=Year_Open_to_Traffic?,Calculations!$J$5,Calculations!R31+(Calculations!R31*Calculations!O32*Q32))</f>
        <v>3974185.5021004891</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0.11420508983569955</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0.11420508983569955</v>
      </c>
      <c r="K33" s="164"/>
      <c r="L33" s="136"/>
      <c r="M33" s="144">
        <f t="shared" si="1"/>
        <v>2047</v>
      </c>
      <c r="N33" s="145">
        <f t="shared" si="6"/>
        <v>37858.789675947075</v>
      </c>
      <c r="O33" s="146">
        <f t="shared" si="7"/>
        <v>2.1200081011077954E-2</v>
      </c>
      <c r="P33" s="147">
        <f t="shared" si="8"/>
        <v>0.8304051297265802</v>
      </c>
      <c r="Q33" s="148">
        <f t="shared" si="4"/>
        <v>1</v>
      </c>
      <c r="R33" s="37">
        <f>IF(M33=Year_Open_to_Traffic?,Calculations!$J$5,Calculations!R32+(Calculations!R32*Calculations!O33*Q33))</f>
        <v>4058438.5566980708</v>
      </c>
      <c r="S33" s="54">
        <f t="shared" si="0"/>
        <v>0</v>
      </c>
      <c r="T33" s="37">
        <f t="shared" si="5"/>
        <v>0</v>
      </c>
      <c r="U33" s="142">
        <f>T33/(1+Real_Discount_Rate)^(Calculations!M33-'Assumed Values'!$C$5)</f>
        <v>0</v>
      </c>
    </row>
    <row r="34" spans="1:21" ht="15.75" x14ac:dyDescent="0.25">
      <c r="J34" s="166"/>
      <c r="L34" s="136"/>
      <c r="M34" s="144">
        <f t="shared" si="1"/>
        <v>2048</v>
      </c>
      <c r="N34" s="145">
        <f t="shared" si="6"/>
        <v>38661.399084058517</v>
      </c>
      <c r="O34" s="146">
        <f t="shared" si="7"/>
        <v>2.1200081011077954E-2</v>
      </c>
      <c r="P34" s="147">
        <f t="shared" si="8"/>
        <v>0.84775473820102065</v>
      </c>
      <c r="Q34" s="148">
        <f t="shared" si="4"/>
        <v>1</v>
      </c>
      <c r="R34" s="37">
        <f>IF(M34=Year_Open_to_Traffic?,Calculations!$J$5,Calculations!R33+(Calculations!R33*Calculations!O34*Q34))</f>
        <v>4144477.7828785521</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39481.023876642175</v>
      </c>
      <c r="O35" s="146">
        <f t="shared" si="7"/>
        <v>2.1200081011077954E-2</v>
      </c>
      <c r="P35" s="147">
        <f t="shared" si="8"/>
        <v>0.86546683108631184</v>
      </c>
      <c r="Q35" s="148">
        <f t="shared" si="4"/>
        <v>1</v>
      </c>
      <c r="R35" s="37">
        <f>IF(M35=Year_Open_to_Traffic?,Calculations!$J$5,Calculations!R34+(Calculations!R34*Calculations!O35*Q35))</f>
        <v>4232341.0476241903</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40318.024781227294</v>
      </c>
      <c r="O36" s="146">
        <f t="shared" si="7"/>
        <v>2.1200081011077954E-2</v>
      </c>
      <c r="P36" s="147">
        <f t="shared" si="8"/>
        <v>0.88354898174921326</v>
      </c>
      <c r="Q36" s="148">
        <f t="shared" si="4"/>
        <v>1</v>
      </c>
      <c r="R36" s="37">
        <f>IF(M36=Year_Open_to_Traffic?,Calculations!$J$5,Calculations!R35+(Calculations!R35*Calculations!O36*Q36))</f>
        <v>4322067.0207003336</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13028.738155077484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2018-10-31T18:39:40Z</dcterms:modified>
</cp:coreProperties>
</file>