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18" documentId="8_{80540C4D-8E54-42EC-AC6D-10BDFD7D4A44}" xr6:coauthVersionLast="40" xr6:coauthVersionMax="40" xr10:uidLastSave="{2549C43D-A2C7-40AE-BDC0-FDC96CD05BD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<sst xmlns="http://schemas.openxmlformats.org/spreadsheetml/2006/main" count="441" uniqueCount="286">
  <si>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</si>
  <si>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</si>
  <si>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</si>
  <si>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</si>
  <si>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</si>
  <si>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</si>
  <si>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</si>
  <si>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</si>
  <si>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</si>
  <si>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</si>
  <si>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</si>
  <si>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</si>
  <si>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</si>
  <si>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</si>
  <si>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</si>
  <si>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</si>
  <si>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</si>
  <si>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</si>
  <si>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</si>
  <si>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</si>
  <si>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</si>
  <si>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</si>
  <si>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</si>
  <si>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</si>
  <si>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</si>
  <si>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</si>
  <si>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</si>
  <si>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</si>
  <si>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</si>
  <si>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</si>
  <si>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</si>
  <si>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</si>
  <si>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</si>
  <si>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</si>
  <si>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</si>
  <si>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</si>
  <si>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</si>
  <si>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</si>
  <si>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</si>
  <si>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</si>
  <si>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</si>
  <si>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</si>
  <si>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</si>
  <si>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</si>
  <si>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</si>
  <si>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</si>
  <si>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</si>
  <si>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</si>
  <si>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518 Widening</t>
  </si>
  <si>
    <t>County</t>
  </si>
  <si>
    <t>Brazoria</t>
  </si>
  <si>
    <t>Data entered by the sponsors</t>
  </si>
  <si>
    <t>Facility Type</t>
  </si>
  <si>
    <t>Non-Freeway</t>
  </si>
  <si>
    <t>HGAC regional travel demand model data provided by HGAC upon request</t>
  </si>
  <si>
    <t>Street Name:</t>
  </si>
  <si>
    <t>FM 518 </t>
  </si>
  <si>
    <t>Populated based on selection in cell "C18"</t>
  </si>
  <si>
    <t>Limits (From)</t>
  </si>
  <si>
    <t>FM 865</t>
  </si>
  <si>
    <t>Benefits calculated by the template</t>
  </si>
  <si>
    <t>Limits (To)</t>
  </si>
  <si>
    <t>SH 35</t>
  </si>
  <si>
    <t>Length (in Miles)</t>
  </si>
  <si>
    <t>Application ID Number:</t>
  </si>
  <si>
    <t>Sponsor ID Number (CSJ, etc.):</t>
  </si>
  <si>
    <t>0976-02-086</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</si>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</sst>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8" zoomScaleNormal="100" workbookViewId="0" xr3:uid="{51F8DEE0-4D01-5F28-A812-FC0BD7CAC4A5}">
      <selection activeCell="C18" sqref="C18"/>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3.95</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2027</v>
      </c>
      <c r="D17" s="80"/>
    </row>
    <row r="18" spans="2:13">
      <c r="B18" s="3" t="s">
        <v>69</v>
      </c>
      <c r="C18" s="98" t="s">
        <v>70</v>
      </c>
    </row>
    <row r="19" spans="2:13">
      <c r="B19" s="99" t="s">
        <v>71</v>
      </c>
      <c r="C19" s="128">
        <f>VLOOKUP(C18,'CRF Lookup Table'!C3:F84,2, FALSE)</f>
        <v>203</v>
      </c>
      <c r="D19" s="81"/>
    </row>
    <row r="20" spans="2:13">
      <c r="B20" s="99" t="s">
        <v>72</v>
      </c>
      <c r="C20" s="129">
        <f>VLOOKUP(C18,'CRF Lookup Table'!C3:F84,3, FALSE)</f>
        <v>0.4</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30459</v>
      </c>
      <c r="D25" s="82"/>
      <c r="I25" s="41"/>
    </row>
    <row r="26" spans="2:13">
      <c r="I26" s="41"/>
    </row>
    <row r="27" spans="2:13">
      <c r="B27" s="73" t="s">
        <v>76</v>
      </c>
      <c r="C27" s="74">
        <v>14790</v>
      </c>
      <c r="D27" s="82"/>
      <c r="I27" s="41"/>
    </row>
    <row r="28" spans="2:13">
      <c r="B28" s="73" t="s">
        <v>77</v>
      </c>
      <c r="C28" s="74">
        <v>21572</v>
      </c>
      <c r="D28" s="82"/>
      <c r="I28" s="41"/>
    </row>
    <row r="29" spans="2:13">
      <c r="B29" s="73" t="s">
        <v>78</v>
      </c>
      <c r="C29" s="75">
        <v>13629</v>
      </c>
      <c r="D29" s="58"/>
      <c r="I29" s="41"/>
    </row>
    <row r="30" spans="2:13">
      <c r="B30" s="73" t="s">
        <v>79</v>
      </c>
      <c r="C30" s="75">
        <v>21572</v>
      </c>
      <c r="D30" s="58"/>
      <c r="I30" s="41"/>
    </row>
    <row r="31" spans="2:13">
      <c r="B31" s="73" t="s">
        <v>80</v>
      </c>
      <c r="C31" s="74">
        <v>18890</v>
      </c>
      <c r="D31" s="82"/>
      <c r="H31" s="59"/>
    </row>
    <row r="32" spans="2:13">
      <c r="B32" s="73" t="s">
        <v>81</v>
      </c>
      <c r="C32" s="74">
        <v>31175</v>
      </c>
      <c r="D32" s="82"/>
    </row>
    <row r="34" spans="2:9" ht="18.75">
      <c r="B34" s="43" t="s">
        <v>82</v>
      </c>
      <c r="C34" s="44"/>
      <c r="D34" s="44"/>
      <c r="E34" s="44"/>
      <c r="F34" s="44"/>
      <c r="I34" s="59"/>
    </row>
    <row r="36" spans="2:9">
      <c r="B36" s="9" t="s">
        <v>83</v>
      </c>
    </row>
    <row r="37" spans="2:9">
      <c r="B37" s="8" t="s">
        <v>84</v>
      </c>
      <c r="C37" s="34">
        <f>Calculations!U37</f>
        <v>35851.355394027451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28999.349430872957</v>
      </c>
      <c r="G4" s="136" t="s">
        <v>95</v>
      </c>
      <c r="H4" s="136"/>
      <c r="I4" s="136"/>
      <c r="J4" s="136"/>
      <c r="L4" s="106"/>
      <c r="M4" s="107">
        <v>2018</v>
      </c>
      <c r="N4" s="108">
        <f>_2018_Volume_ADT</f>
        <v>30459</v>
      </c>
      <c r="O4" s="109" t="s">
        <v>96</v>
      </c>
      <c r="P4" s="110">
        <f>MIN(B12,1)</f>
        <v>0.68561097719265718</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114547.43025194819</v>
      </c>
      <c r="G5" s="137" t="s">
        <v>99</v>
      </c>
      <c r="H5" s="137"/>
      <c r="I5" s="137"/>
      <c r="J5" s="111">
        <f>SUMPRODUCT(Possible_Crash_Reductions,'Value of Statistical Life'!E5:E11)</f>
        <v>5138920.6263488522</v>
      </c>
      <c r="L5" s="106"/>
      <c r="M5" s="11">
        <f t="shared" ref="M5:M36" si="1">M4+1</f>
        <v>2019</v>
      </c>
      <c r="N5" s="112">
        <f>N4+(N4*O5)</f>
        <v>30105.345440592242</v>
      </c>
      <c r="O5" s="113">
        <f t="shared" ref="O5:O11" si="2">IF(ISERROR(_2025_2045_Demand_Growth),_2018_2045_Demand_Growth,_2018_2025_Demand_Growth)</f>
        <v>-1.1610839469705425E-2</v>
      </c>
      <c r="P5" s="114">
        <f t="shared" ref="P5:P11" si="3">P4*(1+IFERROR(_2018_2025_V_C_Growth,_2018_2045_V_C_Growth))</f>
        <v>0.67765045819780534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29782331.86550653</v>
      </c>
      <c r="L6" s="106"/>
      <c r="M6" s="107">
        <f t="shared" si="1"/>
        <v>2020</v>
      </c>
      <c r="N6" s="112">
        <f t="shared" ref="N6:N36" si="6">N5+(N5*O6)</f>
        <v>29755.797107501498</v>
      </c>
      <c r="O6" s="113">
        <f t="shared" si="2"/>
        <v>-1.1610839469705425E-2</v>
      </c>
      <c r="P6" s="114">
        <f t="shared" si="3"/>
        <v>0.66978236751109832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29410.307323993173</v>
      </c>
      <c r="O7" s="113">
        <f t="shared" si="2"/>
        <v>-1.1610839469705425E-2</v>
      </c>
      <c r="P7" s="114">
        <f t="shared" si="3"/>
        <v>0.66200563196228768</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29068.828966899586</v>
      </c>
      <c r="O8" s="113">
        <f t="shared" si="2"/>
        <v>-1.1610839469705425E-2</v>
      </c>
      <c r="P8" s="114">
        <f t="shared" si="3"/>
        <v>0.65431919084153267</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-1.1610839469705425E-2</v>
      </c>
      <c r="D9" s="39" t="s">
        <v>104</v>
      </c>
      <c r="E9" s="119">
        <f>IF('Inputs &amp; Outputs'!$C$8='CRASH RATES'!$D$3, VLOOKUP('Inputs &amp; Outputs'!$C$7,'CRASH RATES'!$C$14:$J$21,3,FALSE), VLOOKUP('Inputs &amp; Outputs'!$C$7,'CRASH RATES'!$C$28:$J$35,3,FALSE))</f>
        <v>2.3625405586197226</v>
      </c>
      <c r="F9" s="85"/>
      <c r="L9" s="106"/>
      <c r="M9" s="11">
        <f t="shared" si="1"/>
        <v>2023</v>
      </c>
      <c r="N9" s="112">
        <f t="shared" si="6"/>
        <v>28731.315460192593</v>
      </c>
      <c r="O9" s="113">
        <f t="shared" si="2"/>
        <v>-1.1610839469705425E-2</v>
      </c>
      <c r="P9" s="114">
        <f t="shared" si="3"/>
        <v>0.64672199575472411</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1.6455565910918679E-2</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28397.720768630832</v>
      </c>
      <c r="O10" s="113">
        <f t="shared" si="2"/>
        <v>-1.1610839469705425E-2</v>
      </c>
      <c r="P10" s="114">
        <f t="shared" si="3"/>
        <v>0.63921301048048851</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9.1034609799416355E-3</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28067.999391480738</v>
      </c>
      <c r="O11" s="113">
        <f t="shared" si="2"/>
        <v>-1.1610839469705425E-2</v>
      </c>
      <c r="P11" s="114">
        <f t="shared" si="3"/>
        <v>0.63179121082885248</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0.68561097719265718</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28529.874205454875</v>
      </c>
      <c r="O12" s="113">
        <f t="shared" ref="O12:O36" si="7">IFERROR(_2025_2045_Demand_Growth,_2018_2045_Demand_Growth)</f>
        <v>1.6455565910918679E-2</v>
      </c>
      <c r="P12" s="114">
        <f t="shared" ref="P12:P36" si="8">P11*(1+IFERROR(_2025_2040_V_C_Growth,_2018_2045_V_C_Growth))</f>
        <v>0.6304725398933092</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75">
      <c r="A13" s="39" t="s">
        <v>111</v>
      </c>
      <c r="B13" s="120">
        <f>_2025_Peak_Period_Volume/_2025_Peak_Period_Capacity</f>
        <v>0.63179121082885226</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28999.349430872957</v>
      </c>
      <c r="O13" s="113">
        <f t="shared" si="7"/>
        <v>1.6455565910918679E-2</v>
      </c>
      <c r="P13" s="114">
        <f t="shared" si="8"/>
        <v>0.62915662128006233</v>
      </c>
      <c r="Q13" s="115">
        <f t="shared" si="4"/>
        <v>1</v>
      </c>
      <c r="R13" s="30">
        <f>IF(M13=Year_Open_to_Traffic?,Calculations!$J$5,Calculations!R12+(Calculations!R12*Calculations!O13*Q13))</f>
        <v>5138920.6263488522</v>
      </c>
      <c r="S13" s="45">
        <f t="shared" si="0"/>
        <v>1</v>
      </c>
      <c r="T13" s="30">
        <f t="shared" si="5"/>
        <v>5138.9206263488522</v>
      </c>
      <c r="U13" s="31">
        <f>T13/(1+Real_Discount_Rate)^(Calculations!M13-'Assumed Values'!$C$5)</f>
        <v>2795.2323291328053</v>
      </c>
    </row>
    <row r="14" spans="1:21" ht="15.75">
      <c r="A14" s="39" t="s">
        <v>113</v>
      </c>
      <c r="B14" s="120">
        <f>_2045_Peak_Period_Volume/_2045_Peak_Period_Capacity</f>
        <v>0.60593424218123493</v>
      </c>
      <c r="D14" s="39" t="s">
        <v>114</v>
      </c>
      <c r="E14" s="119">
        <f>IF('Inputs &amp; Outputs'!$C$8='CRASH RATES'!$D$3, VLOOKUP('Inputs &amp; Outputs'!$C$7,'CRASH RATES'!$C$14:$J$21,8,FALSE), VLOOKUP('Inputs &amp; Outputs'!$C$7,'CRASH RATES'!$C$28:$J$35,8,FALSE))</f>
        <v>20.354195581954531</v>
      </c>
      <c r="F14" s="85"/>
      <c r="L14" s="106"/>
      <c r="M14" s="107">
        <f>M13+1</f>
        <v>2028</v>
      </c>
      <c r="N14" s="112">
        <f t="shared" si="6"/>
        <v>29476.550136806451</v>
      </c>
      <c r="O14" s="113">
        <f t="shared" si="7"/>
        <v>1.6455565910918679E-2</v>
      </c>
      <c r="P14" s="114">
        <f>P13*(1+IFERROR(_2025_2040_V_C_Growth,_2018_2045_V_C_Growth))</f>
        <v>0.62784344924448088</v>
      </c>
      <c r="Q14" s="115">
        <f t="shared" si="4"/>
        <v>1</v>
      </c>
      <c r="R14" s="30">
        <f>IF(M14=Year_Open_to_Traffic?,Calculations!$J$5,Calculations!R13+(Calculations!R13*Calculations!O14*Q14))</f>
        <v>5223484.4734267155</v>
      </c>
      <c r="S14" s="45">
        <f t="shared" si="0"/>
        <v>1</v>
      </c>
      <c r="T14" s="30">
        <f t="shared" si="5"/>
        <v>5223.4844734267153</v>
      </c>
      <c r="U14" s="31">
        <f>T14/(1+Real_Discount_Rate)^(Calculations!M14-'Assumed Values'!$C$5)</f>
        <v>2655.35463454316</v>
      </c>
    </row>
    <row r="15" spans="1:21" ht="15.75">
      <c r="A15" s="39" t="s">
        <v>115</v>
      </c>
      <c r="B15" s="118">
        <f>(B13/B12)^(1/(2025-2018))-1</f>
        <v>-1.1610839469705425E-2</v>
      </c>
      <c r="L15" s="106"/>
      <c r="M15" s="11">
        <f>M14+1</f>
        <v>2029</v>
      </c>
      <c r="N15" s="112">
        <f t="shared" si="6"/>
        <v>29961.603450409169</v>
      </c>
      <c r="O15" s="113">
        <f t="shared" si="7"/>
        <v>1.6455565910918679E-2</v>
      </c>
      <c r="P15" s="114">
        <f>P14*(1+IFERROR(_2025_2040_V_C_Growth,_2018_2045_V_C_Growth))</f>
        <v>0.62653301805392392</v>
      </c>
      <c r="Q15" s="115">
        <f t="shared" si="4"/>
        <v>1</v>
      </c>
      <c r="R15" s="30">
        <f>IF(M15=Year_Open_to_Traffic?,Calculations!$J$5,Calculations!R14+(Calculations!R14*Calculations!O15*Q15))</f>
        <v>5309439.8664638493</v>
      </c>
      <c r="S15" s="45">
        <f t="shared" si="0"/>
        <v>1</v>
      </c>
      <c r="T15" s="30">
        <f t="shared" si="5"/>
        <v>5309.4398664638493</v>
      </c>
      <c r="U15" s="31">
        <f>T15/(1+Real_Discount_Rate)^(Calculations!M15-'Assumed Values'!$C$5)</f>
        <v>2522.476633410045</v>
      </c>
    </row>
    <row r="16" spans="1:21" ht="15.75">
      <c r="A16" s="39" t="s">
        <v>116</v>
      </c>
      <c r="B16" s="118">
        <f>(B14/B13)^(1/(2045-2025))-1</f>
        <v>-2.0871941757677481E-3</v>
      </c>
      <c r="D16" s="121" t="s">
        <v>117</v>
      </c>
      <c r="E16" s="57"/>
      <c r="L16" s="106"/>
      <c r="M16" s="107">
        <f t="shared" si="1"/>
        <v>2030</v>
      </c>
      <c r="N16" s="112">
        <f t="shared" si="6"/>
        <v>30454.638590784187</v>
      </c>
      <c r="O16" s="113">
        <f t="shared" si="7"/>
        <v>1.6455565910918679E-2</v>
      </c>
      <c r="P16" s="114">
        <f t="shared" si="8"/>
        <v>0.62522532198771563</v>
      </c>
      <c r="Q16" s="115">
        <f t="shared" si="4"/>
        <v>1</v>
      </c>
      <c r="R16" s="30">
        <f>IF(M16=Year_Open_to_Traffic?,Calculations!$J$5,Calculations!R15+(Calculations!R15*Calculations!O16*Q16))</f>
        <v>5396809.7041365048</v>
      </c>
      <c r="S16" s="45">
        <f t="shared" si="0"/>
        <v>1</v>
      </c>
      <c r="T16" s="30">
        <f t="shared" si="5"/>
        <v>5396.8097041365045</v>
      </c>
      <c r="U16" s="31">
        <f>T16/(1+Real_Discount_Rate)^(Calculations!M16-'Assumed Values'!$C$5)</f>
        <v>2396.2480503830625</v>
      </c>
    </row>
    <row r="17" spans="1:21" ht="15.75">
      <c r="A17" s="39" t="s">
        <v>118</v>
      </c>
      <c r="B17" s="118">
        <f>(B14/B12)^(1/(2045-2018))-1</f>
        <v>-4.5650634365361764E-3</v>
      </c>
      <c r="D17" s="39" t="s">
        <v>119</v>
      </c>
      <c r="E17" s="122">
        <f>($E$6*Death_Rate)/100000000</f>
        <v>0.70361966962531763</v>
      </c>
      <c r="L17" s="106"/>
      <c r="M17" s="11">
        <f t="shared" si="1"/>
        <v>2031</v>
      </c>
      <c r="N17" s="112">
        <f t="shared" si="6"/>
        <v>30955.786903408043</v>
      </c>
      <c r="O17" s="113">
        <f t="shared" si="7"/>
        <v>1.6455565910918679E-2</v>
      </c>
      <c r="P17" s="114">
        <f t="shared" si="8"/>
        <v>0.62392035533712031</v>
      </c>
      <c r="Q17" s="115">
        <f t="shared" si="4"/>
        <v>1</v>
      </c>
      <c r="R17" s="30">
        <f>IF(M17=Year_Open_to_Traffic?,Calculations!$J$5,Calculations!R16+(Calculations!R16*Calculations!O17*Q17))</f>
        <v>5485617.2619316084</v>
      </c>
      <c r="S17" s="45">
        <f t="shared" si="0"/>
        <v>1</v>
      </c>
      <c r="T17" s="30">
        <f t="shared" si="5"/>
        <v>5485.6172619316085</v>
      </c>
      <c r="U17" s="31">
        <f>T17/(1+Real_Discount_Rate)^(Calculations!M17-'Assumed Values'!$C$5)</f>
        <v>2276.3361384252812</v>
      </c>
    </row>
    <row r="18" spans="1:21" ht="15.75">
      <c r="D18" s="39" t="s">
        <v>120</v>
      </c>
      <c r="E18" s="122">
        <f>($E$6*Incap_Injry_Rate)/100000000</f>
        <v>2.5077726686645936</v>
      </c>
      <c r="L18" s="106"/>
      <c r="M18" s="107">
        <f t="shared" si="1"/>
        <v>2032</v>
      </c>
      <c r="N18" s="112">
        <f t="shared" si="6"/>
        <v>31465.181895121426</v>
      </c>
      <c r="O18" s="113">
        <f t="shared" si="7"/>
        <v>1.6455565910918679E-2</v>
      </c>
      <c r="P18" s="114">
        <f t="shared" si="8"/>
        <v>0.62261811240531773</v>
      </c>
      <c r="Q18" s="115">
        <f t="shared" si="4"/>
        <v>1</v>
      </c>
      <c r="R18" s="30">
        <f>IF(M18=Year_Open_to_Traffic?,Calculations!$J$5,Calculations!R17+(Calculations!R17*Calculations!O18*Q18))</f>
        <v>5575886.1983473971</v>
      </c>
      <c r="S18" s="45">
        <f t="shared" si="0"/>
        <v>1</v>
      </c>
      <c r="T18" s="30">
        <f t="shared" si="5"/>
        <v>5575.8861983473971</v>
      </c>
      <c r="U18" s="31">
        <f>T18/(1+Real_Discount_Rate)^(Calculations!M18-'Assumed Values'!$C$5)</f>
        <v>2162.4248016696679</v>
      </c>
    </row>
    <row r="19" spans="1:21" ht="15.75">
      <c r="D19" s="39" t="s">
        <v>121</v>
      </c>
      <c r="E19" s="122">
        <f>($E$6*Nonincap_Injry_Rate)/100000000</f>
        <v>12.304323453447862</v>
      </c>
      <c r="L19" s="106"/>
      <c r="M19" s="11">
        <f t="shared" si="1"/>
        <v>2033</v>
      </c>
      <c r="N19" s="112">
        <f t="shared" si="6"/>
        <v>31982.959269695642</v>
      </c>
      <c r="O19" s="113">
        <f t="shared" si="7"/>
        <v>1.6455565910918679E-2</v>
      </c>
      <c r="P19" s="114">
        <f t="shared" si="8"/>
        <v>0.62131858750737778</v>
      </c>
      <c r="Q19" s="115">
        <f t="shared" si="4"/>
        <v>1</v>
      </c>
      <c r="R19" s="30">
        <f>IF(M19=Year_Open_to_Traffic?,Calculations!$J$5,Calculations!R18+(Calculations!R18*Calculations!O19*Q19))</f>
        <v>5667640.5611960841</v>
      </c>
      <c r="S19" s="45">
        <f t="shared" si="0"/>
        <v>1</v>
      </c>
      <c r="T19" s="30">
        <f t="shared" si="5"/>
        <v>5667.6405611960845</v>
      </c>
      <c r="U19" s="31">
        <f>T19/(1+Real_Discount_Rate)^(Calculations!M19-'Assumed Values'!$C$5)</f>
        <v>2054.2137621691104</v>
      </c>
    </row>
    <row r="20" spans="1:21" ht="15.75">
      <c r="D20" s="39" t="s">
        <v>122</v>
      </c>
      <c r="E20" s="122">
        <f>($E$6*Poss_Injry_Rate/100000000)</f>
        <v>19.394644739672213</v>
      </c>
      <c r="L20" s="106"/>
      <c r="M20" s="107">
        <f t="shared" si="1"/>
        <v>2034</v>
      </c>
      <c r="N20" s="112">
        <f t="shared" si="6"/>
        <v>32509.256963984346</v>
      </c>
      <c r="O20" s="113">
        <f t="shared" si="7"/>
        <v>1.6455565910918679E-2</v>
      </c>
      <c r="P20" s="114">
        <f t="shared" si="8"/>
        <v>0.62002177497023614</v>
      </c>
      <c r="Q20" s="115">
        <f t="shared" si="4"/>
        <v>1</v>
      </c>
      <c r="R20" s="30">
        <f>IF(M20=Year_Open_to_Traffic?,Calculations!$J$5,Calculations!R19+(Calculations!R19*Calculations!O20*Q20))</f>
        <v>5760904.7940102424</v>
      </c>
      <c r="S20" s="45">
        <f t="shared" si="0"/>
        <v>1</v>
      </c>
      <c r="T20" s="30">
        <f t="shared" si="5"/>
        <v>5760.9047940102428</v>
      </c>
      <c r="U20" s="31">
        <f>T20/(1+Real_Discount_Rate)^(Calculations!M20-'Assumed Values'!$C$5)</f>
        <v>1951.4177683435521</v>
      </c>
    </row>
    <row r="21" spans="1:21" ht="15.75">
      <c r="D21" s="39" t="s">
        <v>123</v>
      </c>
      <c r="E21" s="122">
        <f>($E$6*Non_Injry_Rate)/100000000</f>
        <v>183.24782011241925</v>
      </c>
      <c r="L21" s="106"/>
      <c r="M21" s="11">
        <f>M20+1</f>
        <v>2035</v>
      </c>
      <c r="N21" s="112">
        <f t="shared" si="6"/>
        <v>33044.215184670182</v>
      </c>
      <c r="O21" s="113">
        <f t="shared" si="7"/>
        <v>1.6455565910918679E-2</v>
      </c>
      <c r="P21" s="114">
        <f>P20*(1+IFERROR(_2025_2040_V_C_Growth,_2018_2045_V_C_Growth))</f>
        <v>0.61872766913266908</v>
      </c>
      <c r="Q21" s="115">
        <f t="shared" si="4"/>
        <v>1</v>
      </c>
      <c r="R21" s="30">
        <f>IF(M21=Year_Open_to_Traffic?,Calculations!$J$5,Calculations!R20+(Calculations!R20*Calculations!O21*Q21))</f>
        <v>5855703.742554605</v>
      </c>
      <c r="S21" s="45">
        <f t="shared" si="0"/>
        <v>1</v>
      </c>
      <c r="T21" s="30">
        <f t="shared" si="5"/>
        <v>5855.703742554605</v>
      </c>
      <c r="U21" s="31">
        <f>T21/(1+Real_Discount_Rate)^(Calculations!M21-'Assumed Values'!$C$5)</f>
        <v>1853.7658430376327</v>
      </c>
    </row>
    <row r="22" spans="1:21" ht="15.75">
      <c r="D22" s="39" t="s">
        <v>124</v>
      </c>
      <c r="E22" s="122">
        <f>($E$6*Unkn_Injry_Rate)/100000000</f>
        <v>6.0619540767719666</v>
      </c>
      <c r="L22" s="106"/>
      <c r="M22" s="107">
        <f>M21+1</f>
        <v>2036</v>
      </c>
      <c r="N22" s="112">
        <f t="shared" si="6"/>
        <v>33587.976445616099</v>
      </c>
      <c r="O22" s="113">
        <f t="shared" si="7"/>
        <v>1.6455565910918679E-2</v>
      </c>
      <c r="P22" s="114">
        <f t="shared" si="8"/>
        <v>0.61743626434526899</v>
      </c>
      <c r="Q22" s="115">
        <f t="shared" si="4"/>
        <v>1</v>
      </c>
      <c r="R22" s="30">
        <f>IF(M22=Year_Open_to_Traffic?,Calculations!$J$5,Calculations!R21+(Calculations!R21*Calculations!O22*Q22))</f>
        <v>5952062.6614450254</v>
      </c>
      <c r="S22" s="45">
        <f t="shared" si="0"/>
        <v>1</v>
      </c>
      <c r="T22" s="30">
        <f t="shared" si="5"/>
        <v>5952.0626614450257</v>
      </c>
      <c r="U22" s="31">
        <f>T22/(1+Real_Discount_Rate)^(Calculations!M22-'Assumed Values'!$C$5)</f>
        <v>1761.0005692066807</v>
      </c>
    </row>
    <row r="23" spans="1:21" ht="15.75">
      <c r="L23" s="106"/>
      <c r="M23" s="11">
        <f t="shared" si="1"/>
        <v>2037</v>
      </c>
      <c r="N23" s="112">
        <f t="shared" si="6"/>
        <v>34140.685605831321</v>
      </c>
      <c r="O23" s="113">
        <f t="shared" si="7"/>
        <v>1.6455565910918679E-2</v>
      </c>
      <c r="P23" s="114">
        <f t="shared" si="8"/>
        <v>0.61614755497041973</v>
      </c>
      <c r="Q23" s="115">
        <f t="shared" si="4"/>
        <v>1</v>
      </c>
      <c r="R23" s="30">
        <f>IF(M23=Year_Open_to_Traffic?,Calculations!$J$5,Calculations!R22+(Calculations!R22*Calculations!O23*Q23))</f>
        <v>6050007.2208763519</v>
      </c>
      <c r="S23" s="45">
        <f t="shared" si="0"/>
        <v>1</v>
      </c>
      <c r="T23" s="30">
        <f t="shared" si="5"/>
        <v>6050.0072208763522</v>
      </c>
      <c r="U23" s="31">
        <f>T23/(1+Real_Discount_Rate)^(Calculations!M23-'Assumed Values'!$C$5)</f>
        <v>1672.877411348062</v>
      </c>
    </row>
    <row r="24" spans="1:21" ht="15.75">
      <c r="L24" s="106"/>
      <c r="M24" s="107">
        <f t="shared" si="1"/>
        <v>2038</v>
      </c>
      <c r="N24" s="112">
        <f t="shared" si="6"/>
        <v>34702.489908062031</v>
      </c>
      <c r="O24" s="113">
        <f t="shared" si="7"/>
        <v>1.6455565910918679E-2</v>
      </c>
      <c r="P24" s="114">
        <f t="shared" si="8"/>
        <v>0.61486153538227195</v>
      </c>
      <c r="Q24" s="115">
        <f t="shared" si="4"/>
        <v>1</v>
      </c>
      <c r="R24" s="30">
        <f>IF(M24=Year_Open_to_Traffic?,Calculations!$J$5,Calculations!R23+(Calculations!R23*Calculations!O24*Q24))</f>
        <v>6149563.513461017</v>
      </c>
      <c r="S24" s="45">
        <f t="shared" si="0"/>
        <v>1</v>
      </c>
      <c r="T24" s="30">
        <f t="shared" si="5"/>
        <v>6149.5635134610175</v>
      </c>
      <c r="U24" s="31">
        <f>T24/(1+Real_Discount_Rate)^(Calculations!M24-'Assumed Values'!$C$5)</f>
        <v>1589.1640708891471</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35273.539018017138</v>
      </c>
      <c r="O25" s="113">
        <f t="shared" si="7"/>
        <v>1.6455565910918679E-2</v>
      </c>
      <c r="P25" s="114">
        <f t="shared" si="8"/>
        <v>0.61357819996671847</v>
      </c>
      <c r="Q25" s="115">
        <f t="shared" si="4"/>
        <v>1</v>
      </c>
      <c r="R25" s="30">
        <f>IF(M25=Year_Open_to_Traffic?,Calculations!$J$5,Calculations!R24+(Calculations!R24*Calculations!O25*Q25))</f>
        <v>6250758.0611801557</v>
      </c>
      <c r="S25" s="45">
        <f t="shared" si="0"/>
        <v>1</v>
      </c>
      <c r="T25" s="30">
        <f t="shared" si="5"/>
        <v>6250.7580611801559</v>
      </c>
      <c r="U25" s="31">
        <f>T25/(1+Real_Discount_Rate)^(Calculations!M25-'Assumed Values'!$C$5)</f>
        <v>1509.639873832642</v>
      </c>
    </row>
    <row r="26" spans="1:21" ht="15.75">
      <c r="A26" s="134"/>
      <c r="B26" s="134"/>
      <c r="D26" s="123">
        <f>Calculations!E17</f>
        <v>0.70361966962531763</v>
      </c>
      <c r="E26" s="123">
        <f>Calculations!E18</f>
        <v>2.5077726686645936</v>
      </c>
      <c r="F26" s="123">
        <f>Calculations!E19</f>
        <v>12.304323453447862</v>
      </c>
      <c r="G26" s="123">
        <f>Calculations!E20</f>
        <v>19.394644739672213</v>
      </c>
      <c r="H26" s="123">
        <f>Calculations!E21</f>
        <v>183.24782011241925</v>
      </c>
      <c r="I26" s="123">
        <f>Calculations!E22</f>
        <v>6.0619540767719666</v>
      </c>
      <c r="J26" s="135"/>
      <c r="L26" s="106"/>
      <c r="M26" s="107">
        <f t="shared" si="1"/>
        <v>2040</v>
      </c>
      <c r="N26" s="112">
        <f t="shared" si="6"/>
        <v>35853.985064239481</v>
      </c>
      <c r="O26" s="113">
        <f t="shared" si="7"/>
        <v>1.6455565910918679E-2</v>
      </c>
      <c r="P26" s="114">
        <f t="shared" si="8"/>
        <v>0.61229754312136986</v>
      </c>
      <c r="Q26" s="115">
        <f t="shared" si="4"/>
        <v>1</v>
      </c>
      <c r="R26" s="30">
        <f>IF(M26=Year_Open_to_Traffic?,Calculations!$J$5,Calculations!R25+(Calculations!R25*Calculations!O26*Q26))</f>
        <v>6353617.8224491123</v>
      </c>
      <c r="S26" s="45">
        <f t="shared" si="0"/>
        <v>1</v>
      </c>
      <c r="T26" s="30">
        <f t="shared" si="5"/>
        <v>6353.6178224491123</v>
      </c>
      <c r="U26" s="31">
        <f>T26/(1+Real_Discount_Rate)^(Calculations!M26-'Assumed Values'!$C$5)</f>
        <v>1434.0951890450899</v>
      </c>
    </row>
    <row r="27" spans="1:21" ht="15.75">
      <c r="A27" s="38" t="s">
        <v>127</v>
      </c>
      <c r="B27" s="39" t="s">
        <v>128</v>
      </c>
      <c r="D27" s="124">
        <f>D$26*'Value of Statistical Life'!D17*Appropriate_Crash_Reduction_Factor</f>
        <v>0</v>
      </c>
      <c r="E27" s="124">
        <f>E$26*'Value of Statistical Life'!E17*Appropriate_Crash_Reduction_Factor</f>
        <v>3.4476858648800832E-2</v>
      </c>
      <c r="F27" s="124">
        <f>F$26*'Value of Statistical Life'!F17*Appropriate_Crash_Reduction_Factor</f>
        <v>0.41081675146371732</v>
      </c>
      <c r="G27" s="124">
        <f>G$26*'Value of Statistical Life'!G17*Appropriate_Crash_Reduction_Factor</f>
        <v>1.8182091550547907</v>
      </c>
      <c r="H27" s="124">
        <f>H$26*'Value of Statistical Life'!H17*Appropriate_Crash_Reduction_Factor</f>
        <v>67.826615145130418</v>
      </c>
      <c r="I27" s="124">
        <f>I$26*'Value of Statistical Life'!I17*Appropriate_Crash_Reduction_Factor</f>
        <v>1.0590476250283698</v>
      </c>
      <c r="J27" s="124">
        <f t="shared" ref="J27:J33" si="9">SUM(D27:I27)</f>
        <v>71.149165535326091</v>
      </c>
      <c r="K27" s="69"/>
      <c r="L27" s="106"/>
      <c r="M27" s="11">
        <f t="shared" si="1"/>
        <v>2041</v>
      </c>
      <c r="N27" s="112">
        <f t="shared" si="6"/>
        <v>36443.982678633169</v>
      </c>
      <c r="O27" s="113">
        <f t="shared" si="7"/>
        <v>1.6455565910918679E-2</v>
      </c>
      <c r="P27" s="114">
        <f t="shared" si="8"/>
        <v>0.61101955925553009</v>
      </c>
      <c r="Q27" s="115">
        <f t="shared" si="4"/>
        <v>1</v>
      </c>
      <c r="R27" s="30">
        <f>IF(M27=Year_Open_to_Traffic?,Calculations!$J$5,Calculations!R26+(Calculations!R26*Calculations!O27*Q27))</f>
        <v>6458170.1992992116</v>
      </c>
      <c r="S27" s="45">
        <f t="shared" si="0"/>
        <v>1</v>
      </c>
      <c r="T27" s="30">
        <f t="shared" si="5"/>
        <v>6458.1701992992112</v>
      </c>
      <c r="U27" s="31">
        <f>T27/(1+Real_Discount_Rate)^(Calculations!M27-'Assumed Values'!$C$5)</f>
        <v>1362.330875655096</v>
      </c>
    </row>
    <row r="28" spans="1:21" ht="15.75">
      <c r="A28" s="38" t="s">
        <v>129</v>
      </c>
      <c r="B28" s="39" t="s">
        <v>130</v>
      </c>
      <c r="D28" s="124">
        <f>D$26*'Value of Statistical Life'!D18*Appropriate_Crash_Reduction_Factor</f>
        <v>0</v>
      </c>
      <c r="E28" s="124">
        <f>E$26*'Value of Statistical Life'!E18*Appropriate_Crash_Reduction_Factor</f>
        <v>0.55621394681913228</v>
      </c>
      <c r="F28" s="124">
        <f>F$26*'Value of Statistical Life'!F18*Appropriate_Crash_Reduction_Factor</f>
        <v>3.7820045085331766</v>
      </c>
      <c r="G28" s="124">
        <f>G$26*'Value of Statistical Life'!G18*Appropriate_Crash_Reduction_Factor</f>
        <v>5.3487327048857622</v>
      </c>
      <c r="H28" s="124">
        <f>H$26*'Value of Statistical Life'!H18*Appropriate_Crash_Reduction_Factor</f>
        <v>5.3193177222233059</v>
      </c>
      <c r="I28" s="124">
        <f>I$26*'Value of Statistical Life'!I18*Appropriate_Crash_Reduction_Factor</f>
        <v>1.0120796048415404</v>
      </c>
      <c r="J28" s="124">
        <f t="shared" si="9"/>
        <v>16.018348487302916</v>
      </c>
      <c r="K28" s="69"/>
      <c r="L28" s="106"/>
      <c r="M28" s="107">
        <f t="shared" si="1"/>
        <v>2042</v>
      </c>
      <c r="N28" s="112">
        <f t="shared" si="6"/>
        <v>37043.689037657794</v>
      </c>
      <c r="O28" s="113">
        <f t="shared" si="7"/>
        <v>1.6455565910918679E-2</v>
      </c>
      <c r="P28" s="114">
        <f t="shared" si="8"/>
        <v>0.60974424279017181</v>
      </c>
      <c r="Q28" s="115">
        <f t="shared" si="4"/>
        <v>1</v>
      </c>
      <c r="R28" s="30">
        <f>IF(M28=Year_Open_to_Traffic?,Calculations!$J$5,Calculations!R27+(Calculations!R27*Calculations!O28*Q28))</f>
        <v>6564443.0446777102</v>
      </c>
      <c r="S28" s="45">
        <f t="shared" si="0"/>
        <v>1</v>
      </c>
      <c r="T28" s="30">
        <f t="shared" si="5"/>
        <v>6564.4430446777105</v>
      </c>
      <c r="U28" s="31">
        <f>T28/(1+Real_Discount_Rate)^(Calculations!M28-'Assumed Values'!$C$5)</f>
        <v>1294.1577581045963</v>
      </c>
    </row>
    <row r="29" spans="1:21" ht="15.75">
      <c r="A29" s="38" t="s">
        <v>131</v>
      </c>
      <c r="B29" s="39" t="s">
        <v>132</v>
      </c>
      <c r="D29" s="124">
        <f>D$26*'Value of Statistical Life'!D19*Appropriate_Crash_Reduction_Factor</f>
        <v>0</v>
      </c>
      <c r="E29" s="124">
        <f>E$26*'Value of Statistical Life'!E19*Appropriate_Crash_Reduction_Factor</f>
        <v>0.20973004382575727</v>
      </c>
      <c r="F29" s="124">
        <f>F$26*'Value of Statistical Life'!F19*Appropriate_Crash_Reduction_Factor</f>
        <v>0.53637006798269915</v>
      </c>
      <c r="G29" s="124">
        <f>G$26*'Value of Statistical Life'!G19*Appropriate_Crash_Reduction_Factor</f>
        <v>0.49580469812498046</v>
      </c>
      <c r="H29" s="124">
        <f>H$26*'Value of Statistical Life'!H19*Appropriate_Crash_Reduction_Factor</f>
        <v>0.14513227352903604</v>
      </c>
      <c r="I29" s="124">
        <f>I$26*'Value of Statistical Life'!I19*Appropriate_Crash_Reduction_Factor</f>
        <v>0.21512662627648355</v>
      </c>
      <c r="J29" s="124">
        <f t="shared" si="9"/>
        <v>1.6021637097389565</v>
      </c>
      <c r="K29" s="69"/>
      <c r="L29" s="106"/>
      <c r="M29" s="11">
        <f t="shared" si="1"/>
        <v>2043</v>
      </c>
      <c r="N29" s="112">
        <f t="shared" si="6"/>
        <v>37653.263904200547</v>
      </c>
      <c r="O29" s="113">
        <f t="shared" si="7"/>
        <v>1.6455565910918679E-2</v>
      </c>
      <c r="P29" s="114">
        <f t="shared" si="8"/>
        <v>0.60847158815791225</v>
      </c>
      <c r="Q29" s="115">
        <f t="shared" si="4"/>
        <v>1</v>
      </c>
      <c r="R29" s="30">
        <f>IF(M29=Year_Open_to_Traffic?,Calculations!$J$5,Calculations!R28+(Calculations!R28*Calculations!O29*Q29))</f>
        <v>6672464.669867876</v>
      </c>
      <c r="S29" s="45">
        <f t="shared" si="0"/>
        <v>1</v>
      </c>
      <c r="T29" s="30">
        <f t="shared" si="5"/>
        <v>6672.4646698678762</v>
      </c>
      <c r="U29" s="31">
        <f>T29/(1+Real_Discount_Rate)^(Calculations!M29-'Assumed Values'!$C$5)</f>
        <v>1229.3961274693579</v>
      </c>
    </row>
    <row r="30" spans="1:21" ht="15.75">
      <c r="A30" s="38" t="s">
        <v>133</v>
      </c>
      <c r="B30" s="39" t="s">
        <v>134</v>
      </c>
      <c r="D30" s="124">
        <f>D$26*'Value of Statistical Life'!D20*Appropriate_Crash_Reduction_Factor</f>
        <v>0</v>
      </c>
      <c r="E30" s="124">
        <f>E$26*'Value of Statistical Life'!E20*Appropriate_Crash_Reduction_Factor</f>
        <v>0.14481885607004294</v>
      </c>
      <c r="F30" s="124">
        <f>F$26*'Value of Statistical Life'!F20*Appropriate_Crash_Reduction_Factor</f>
        <v>0.15705238455980852</v>
      </c>
      <c r="G30" s="124">
        <f>G$26*'Value of Statistical Life'!G20*Appropriate_Crash_Reduction_Factor</f>
        <v>8.3086658064755778E-2</v>
      </c>
      <c r="H30" s="124">
        <f>H$26*'Value of Statistical Life'!H20*Appropriate_Crash_Reduction_Factor</f>
        <v>5.8639302435974164E-3</v>
      </c>
      <c r="I30" s="124">
        <f>I$26*'Value of Statistical Life'!I20*Appropriate_Crash_Reduction_Factor</f>
        <v>0.11680173115124225</v>
      </c>
      <c r="J30" s="124">
        <f t="shared" si="9"/>
        <v>0.50762356008944698</v>
      </c>
      <c r="K30" s="69"/>
      <c r="L30" s="106"/>
      <c r="M30" s="11">
        <f t="shared" si="1"/>
        <v>2044</v>
      </c>
      <c r="N30" s="112">
        <f t="shared" si="6"/>
        <v>38272.869670137334</v>
      </c>
      <c r="O30" s="113">
        <f t="shared" si="7"/>
        <v>1.6455565910918679E-2</v>
      </c>
      <c r="P30" s="114">
        <f t="shared" si="8"/>
        <v>0.60720158980298888</v>
      </c>
      <c r="Q30" s="115">
        <f t="shared" si="4"/>
        <v>1</v>
      </c>
      <c r="R30" s="30">
        <f>IF(M30=Year_Open_to_Traffic?,Calculations!$J$5,Calculations!R29+(Calculations!R29*Calculations!O30*Q30))</f>
        <v>6782263.8520311629</v>
      </c>
      <c r="S30" s="45">
        <f t="shared" si="0"/>
        <v>1</v>
      </c>
      <c r="T30" s="30">
        <f t="shared" si="5"/>
        <v>6782.263852031163</v>
      </c>
      <c r="U30" s="31">
        <f>T30/(1+Real_Discount_Rate)^(Calculations!M30-'Assumed Values'!$C$5)</f>
        <v>1167.8752677341665</v>
      </c>
    </row>
    <row r="31" spans="1:21" ht="15.75">
      <c r="A31" s="38" t="s">
        <v>135</v>
      </c>
      <c r="B31" s="39" t="s">
        <v>136</v>
      </c>
      <c r="D31" s="124">
        <f>D$26*'Value of Statistical Life'!D21*Appropriate_Crash_Reduction_Factor</f>
        <v>0</v>
      </c>
      <c r="E31" s="124">
        <f>E$26*'Value of Statistical Life'!E21*Appropriate_Crash_Reduction_Factor</f>
        <v>3.9983927429188285E-2</v>
      </c>
      <c r="F31" s="124">
        <f>F$26*'Value of Statistical Life'!F21*Appropriate_Crash_Reduction_Factor</f>
        <v>3.0514722164550701E-2</v>
      </c>
      <c r="G31" s="124">
        <f>G$26*'Value of Statistical Life'!G21*Appropriate_Crash_Reduction_Factor</f>
        <v>1.1016158212133817E-2</v>
      </c>
      <c r="H31" s="124">
        <f>H$26*'Value of Statistical Life'!H21*Appropriate_Crash_Reduction_Factor</f>
        <v>0</v>
      </c>
      <c r="I31" s="124">
        <f>I$26*'Value of Statistical Life'!I21*Appropriate_Crash_Reduction_Factor</f>
        <v>1.4960902661473215E-2</v>
      </c>
      <c r="J31" s="124">
        <f t="shared" si="9"/>
        <v>9.6475710467346015E-2</v>
      </c>
      <c r="K31" s="69"/>
      <c r="L31" s="106"/>
      <c r="M31" s="11">
        <f t="shared" si="1"/>
        <v>2045</v>
      </c>
      <c r="N31" s="112">
        <f t="shared" si="6"/>
        <v>38902.671399594277</v>
      </c>
      <c r="O31" s="113">
        <f t="shared" si="7"/>
        <v>1.6455565910918679E-2</v>
      </c>
      <c r="P31" s="114">
        <f t="shared" si="8"/>
        <v>0.60593424218123515</v>
      </c>
      <c r="Q31" s="115">
        <f t="shared" si="4"/>
        <v>1</v>
      </c>
      <c r="R31" s="30">
        <f>IF(M31=Year_Open_to_Traffic?,Calculations!$J$5,Calculations!R30+(Calculations!R30*Calculations!O31*Q31))</f>
        <v>6893869.8418735033</v>
      </c>
      <c r="S31" s="45">
        <f t="shared" si="0"/>
        <v>1</v>
      </c>
      <c r="T31" s="30">
        <f t="shared" si="5"/>
        <v>6893.869841873503</v>
      </c>
      <c r="U31" s="31">
        <f>T31/(1+Real_Discount_Rate)^(Calculations!M31-'Assumed Values'!$C$5)</f>
        <v>1109.433005773923</v>
      </c>
    </row>
    <row r="32" spans="1:21" ht="15.75">
      <c r="A32" s="38" t="s">
        <v>137</v>
      </c>
      <c r="B32" s="39" t="s">
        <v>138</v>
      </c>
      <c r="D32" s="124">
        <f>D$26*'Value of Statistical Life'!D22*Appropriate_Crash_Reduction_Factor</f>
        <v>0</v>
      </c>
      <c r="E32" s="124">
        <f>E$26*'Value of Statistical Life'!E22*Appropriate_Crash_Reduction_Factor</f>
        <v>1.7885434672915881E-2</v>
      </c>
      <c r="F32" s="124">
        <f>F$26*'Value of Statistical Life'!F22*Appropriate_Crash_Reduction_Factor</f>
        <v>4.9709466751929367E-3</v>
      </c>
      <c r="G32" s="124">
        <f>G$26*'Value of Statistical Life'!G22*Appropriate_Crash_Reduction_Factor</f>
        <v>1.0085215264629549E-3</v>
      </c>
      <c r="H32" s="124">
        <f>H$26*'Value of Statistical Life'!H22*Appropriate_Crash_Reduction_Factor</f>
        <v>2.1989738413490311E-3</v>
      </c>
      <c r="I32" s="124">
        <f>I$26*'Value of Statistical Life'!I22*Appropriate_Crash_Reduction_Factor</f>
        <v>6.7651407496775147E-3</v>
      </c>
      <c r="J32" s="124">
        <f t="shared" si="9"/>
        <v>3.2829017465598319E-2</v>
      </c>
      <c r="K32" s="69"/>
      <c r="L32" s="106"/>
      <c r="M32" s="11">
        <f t="shared" si="1"/>
        <v>2046</v>
      </c>
      <c r="N32" s="112">
        <f t="shared" si="6"/>
        <v>39542.836872921114</v>
      </c>
      <c r="O32" s="113">
        <f t="shared" si="7"/>
        <v>1.6455565910918679E-2</v>
      </c>
      <c r="P32" s="114">
        <f t="shared" si="8"/>
        <v>0.60466953976005622</v>
      </c>
      <c r="Q32" s="115">
        <f t="shared" si="4"/>
        <v>1</v>
      </c>
      <c r="R32" s="30">
        <f>IF(M32=Year_Open_to_Traffic?,Calculations!$J$5,Calculations!R31+(Calculations!R31*Calculations!O32*Q32))</f>
        <v>7007312.371437747</v>
      </c>
      <c r="S32" s="45">
        <f t="shared" si="0"/>
        <v>1</v>
      </c>
      <c r="T32" s="30">
        <f t="shared" si="5"/>
        <v>7007.3123714377471</v>
      </c>
      <c r="U32" s="31">
        <f>T32/(1+Real_Discount_Rate)^(Calculations!M32-'Assumed Values'!$C$5)</f>
        <v>1053.9152838543782</v>
      </c>
    </row>
    <row r="33" spans="1:21" ht="15.75">
      <c r="A33" s="38" t="s">
        <v>139</v>
      </c>
      <c r="B33" s="39" t="s">
        <v>140</v>
      </c>
      <c r="D33" s="124">
        <f>D$26*'Value of Statistical Life'!D23*Appropriate_Crash_Reduction_Factor</f>
        <v>0.28144786785012704</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0.28144786785012704</v>
      </c>
      <c r="K33" s="69"/>
      <c r="L33" s="106"/>
      <c r="M33" s="11">
        <f t="shared" si="1"/>
        <v>2047</v>
      </c>
      <c r="N33" s="112">
        <f t="shared" si="6"/>
        <v>40193.536631388175</v>
      </c>
      <c r="O33" s="113">
        <f t="shared" si="7"/>
        <v>1.6455565910918679E-2</v>
      </c>
      <c r="P33" s="114">
        <f t="shared" si="8"/>
        <v>0.60340747701840491</v>
      </c>
      <c r="Q33" s="115">
        <f t="shared" si="4"/>
        <v>1</v>
      </c>
      <c r="R33" s="30">
        <f>IF(M33=Year_Open_to_Traffic?,Calculations!$J$5,Calculations!R32+(Calculations!R32*Calculations!O33*Q33))</f>
        <v>7122621.6620243369</v>
      </c>
      <c r="S33" s="45">
        <f t="shared" si="0"/>
        <v>0</v>
      </c>
      <c r="T33" s="30">
        <f t="shared" si="5"/>
        <v>0</v>
      </c>
      <c r="U33" s="31">
        <f>T33/(1+Real_Discount_Rate)^(Calculations!M33-'Assumed Values'!$C$5)</f>
        <v>0</v>
      </c>
    </row>
    <row r="34" spans="1:21" ht="15.75">
      <c r="J34" s="125"/>
      <c r="L34" s="106"/>
      <c r="M34" s="11">
        <f t="shared" si="1"/>
        <v>2048</v>
      </c>
      <c r="N34" s="112">
        <f t="shared" si="6"/>
        <v>40854.944022618911</v>
      </c>
      <c r="O34" s="113">
        <f t="shared" si="7"/>
        <v>1.6455565910918679E-2</v>
      </c>
      <c r="P34" s="114">
        <f t="shared" si="8"/>
        <v>0.6021480484467574</v>
      </c>
      <c r="Q34" s="115">
        <f t="shared" si="4"/>
        <v>1</v>
      </c>
      <c r="R34" s="30">
        <f>IF(M34=Year_Open_to_Traffic?,Calculations!$J$5,Calculations!R33+(Calculations!R33*Calculations!O34*Q34))</f>
        <v>7239828.4322423153</v>
      </c>
      <c r="S34" s="45">
        <f t="shared" si="0"/>
        <v>0</v>
      </c>
      <c r="T34" s="30">
        <f t="shared" si="5"/>
        <v>0</v>
      </c>
      <c r="U34" s="31">
        <f>T34/(1+Real_Discount_Rate)^(Calculations!M34-'Assumed Values'!$C$5)</f>
        <v>0</v>
      </c>
    </row>
    <row r="35" spans="1:21" ht="15.75">
      <c r="G35" s="41"/>
      <c r="H35" s="41"/>
      <c r="L35" s="106"/>
      <c r="M35" s="11">
        <f t="shared" si="1"/>
        <v>2049</v>
      </c>
      <c r="N35" s="112">
        <f t="shared" si="6"/>
        <v>41527.235246770011</v>
      </c>
      <c r="O35" s="113">
        <f t="shared" si="7"/>
        <v>1.6455565910918679E-2</v>
      </c>
      <c r="P35" s="114">
        <f t="shared" si="8"/>
        <v>0.60089124854708942</v>
      </c>
      <c r="Q35" s="115">
        <f t="shared" si="4"/>
        <v>1</v>
      </c>
      <c r="R35" s="30">
        <f>IF(M35=Year_Open_to_Traffic?,Calculations!$J$5,Calculations!R34+(Calculations!R34*Calculations!O35*Q35))</f>
        <v>7358963.9061928215</v>
      </c>
      <c r="S35" s="45">
        <f t="shared" si="0"/>
        <v>0</v>
      </c>
      <c r="T35" s="30">
        <f t="shared" si="5"/>
        <v>0</v>
      </c>
      <c r="U35" s="31">
        <f>T35/(1+Real_Discount_Rate)^(Calculations!M35-'Assumed Values'!$C$5)</f>
        <v>0</v>
      </c>
    </row>
    <row r="36" spans="1:21" ht="15.75">
      <c r="G36" s="41"/>
      <c r="H36" s="41"/>
      <c r="L36" s="106"/>
      <c r="M36" s="11">
        <f t="shared" si="1"/>
        <v>2050</v>
      </c>
      <c r="N36" s="112">
        <f t="shared" si="6"/>
        <v>42210.589403471458</v>
      </c>
      <c r="O36" s="113">
        <f t="shared" si="7"/>
        <v>1.6455565910918679E-2</v>
      </c>
      <c r="P36" s="114">
        <f t="shared" si="8"/>
        <v>0.59963707183285209</v>
      </c>
      <c r="Q36" s="115">
        <f t="shared" si="4"/>
        <v>1</v>
      </c>
      <c r="R36" s="30">
        <f>IF(M36=Year_Open_to_Traffic?,Calculations!$J$5,Calculations!R35+(Calculations!R35*Calculations!O36*Q36))</f>
        <v>7480059.8217872493</v>
      </c>
      <c r="S36" s="45">
        <f t="shared" si="0"/>
        <v>0</v>
      </c>
      <c r="T36" s="30">
        <f t="shared" si="5"/>
        <v>0</v>
      </c>
      <c r="U36" s="31">
        <f>T36/(1+Real_Discount_Rate)^(Calculations!M36-'Assumed Values'!$C$5)</f>
        <v>0</v>
      </c>
    </row>
    <row r="37" spans="1:21">
      <c r="M37" s="39"/>
      <c r="N37" s="39"/>
      <c r="O37" s="118"/>
      <c r="P37" s="120"/>
      <c r="Q37" s="39"/>
      <c r="R37" s="39"/>
      <c r="S37" s="39"/>
      <c r="T37" s="39"/>
      <c r="U37" s="31">
        <f>SUM(U4:U36)</f>
        <v>35851.355394027451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50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16" workbookViewId="0" xr3:uid="{44B22561-5205-5C8A-B808-2C70100D228F}">
      <selection activeCell="E80" sqref="E80"/>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70</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18303E-FCFE-4FA5-B5B5-EC7B8D41DAD0}"/>
</file>

<file path=customXml/itemProps2.xml><?xml version="1.0" encoding="utf-8"?>
<ds:datastoreItem xmlns:ds="http://schemas.openxmlformats.org/officeDocument/2006/customXml" ds:itemID="{AA0D792F-2A93-4E6B-9636-C88104286161}"/>
</file>

<file path=customXml/itemProps3.xml><?xml version="1.0" encoding="utf-8"?>
<ds:datastoreItem xmlns:ds="http://schemas.openxmlformats.org/officeDocument/2006/customXml" ds:itemID="{FD1B1303-2B0B-4386-A366-7D09CFEC6BC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2018-10-30T01:38:55Z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