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Pfilera\groupdata$\Planning\SHARED\TIP 2018-2022\Universal Accessibility\Universal Accessibility Final\"/>
    </mc:Choice>
  </mc:AlternateContent>
  <xr:revisionPtr revIDLastSave="0" documentId="10_ncr:100000_{C9DFFA1B-CB56-472C-BECC-FEEC61F02EC5}" xr6:coauthVersionLast="31" xr6:coauthVersionMax="31" xr10:uidLastSave="{00000000-0000-0000-0000-000000000000}"/>
  <bookViews>
    <workbookView xWindow="0" yWindow="0" windowWidth="28800" windowHeight="12225" tabRatio="851" activeTab="1" xr2:uid="{00000000-000D-0000-FFFF-FFFF00000000}"/>
  </bookViews>
  <sheets>
    <sheet name="Methodology" sheetId="7" r:id="rId1"/>
    <sheet name="Summary" sheetId="4" r:id="rId2"/>
    <sheet name="TT savings" sheetId="1" r:id="rId3"/>
    <sheet name="New trips &amp; VMT reduction" sheetId="2" r:id="rId4"/>
    <sheet name="AQ reduction &amp; Safety Imprvmnt" sheetId="3" r:id="rId5"/>
    <sheet name="Rdrshp-Auto diversion&amp;VMT" sheetId="6" r:id="rId6"/>
  </sheets>
  <definedNames>
    <definedName name="_xlnm.Print_Area" localSheetId="1">Summary!$B$2:$F$32</definedName>
  </definedNames>
  <calcPr calcId="179017"/>
</workbook>
</file>

<file path=xl/calcChain.xml><?xml version="1.0" encoding="utf-8"?>
<calcChain xmlns="http://schemas.openxmlformats.org/spreadsheetml/2006/main">
  <c r="D5" i="6" l="1"/>
  <c r="D28" i="1" l="1"/>
  <c r="C10" i="2"/>
  <c r="C5" i="2"/>
  <c r="D13" i="6"/>
  <c r="D11" i="6"/>
  <c r="D15" i="6" s="1"/>
  <c r="D19" i="6" s="1"/>
  <c r="D21" i="6" l="1"/>
  <c r="D23" i="6"/>
  <c r="D25" i="6" s="1"/>
  <c r="D7" i="4" l="1"/>
  <c r="D17" i="1"/>
  <c r="C6" i="2"/>
  <c r="C8" i="2" s="1"/>
  <c r="C12" i="2" s="1"/>
  <c r="E4" i="3" s="1"/>
  <c r="D27" i="6"/>
  <c r="D31" i="6" s="1"/>
  <c r="D13" i="4" s="1"/>
  <c r="D9" i="4"/>
  <c r="D19" i="1" l="1"/>
  <c r="D24" i="1" s="1"/>
  <c r="D30" i="1" s="1"/>
  <c r="D30" i="4" s="1"/>
  <c r="D31" i="4" s="1"/>
  <c r="D11" i="4"/>
  <c r="E11" i="3"/>
  <c r="E8" i="3"/>
  <c r="E7" i="3"/>
  <c r="E12" i="3"/>
  <c r="E10" i="3"/>
  <c r="E23" i="3"/>
  <c r="D26" i="4" s="1"/>
  <c r="E9" i="3"/>
  <c r="E5" i="3"/>
  <c r="G8" i="3" l="1"/>
  <c r="D18" i="4"/>
  <c r="G10" i="3"/>
  <c r="D20" i="4"/>
  <c r="G11" i="3"/>
  <c r="D21" i="4"/>
  <c r="D22" i="4"/>
  <c r="G12" i="3"/>
  <c r="G9" i="3"/>
  <c r="D19" i="4"/>
  <c r="D17" i="4"/>
  <c r="G7" i="3"/>
  <c r="G14" i="3" l="1"/>
  <c r="D24" i="4" s="1"/>
  <c r="D28" i="4" s="1"/>
</calcChain>
</file>

<file path=xl/sharedStrings.xml><?xml version="1.0" encoding="utf-8"?>
<sst xmlns="http://schemas.openxmlformats.org/spreadsheetml/2006/main" count="124" uniqueCount="111">
  <si>
    <t>hours</t>
  </si>
  <si>
    <t>Benefits Summary</t>
  </si>
  <si>
    <t>2040 New transit trips generated by this project</t>
  </si>
  <si>
    <t>2040 Auto trips diverted to transit by this project</t>
  </si>
  <si>
    <t>2040 VMT reduction</t>
  </si>
  <si>
    <t>2040 Air Pollution reduction</t>
  </si>
  <si>
    <t>Co reduction due 
to VMT reduction</t>
  </si>
  <si>
    <t>Nox reduction due
 to VMT reduction</t>
  </si>
  <si>
    <t>VOC reduction due 
to VMT reduction</t>
  </si>
  <si>
    <t>PM  reduction due 
to VMT reduction</t>
  </si>
  <si>
    <t>CO 2 reduction due 
to VMT reduction</t>
  </si>
  <si>
    <t>SO 2 reduction due 
to VMT reduction</t>
  </si>
  <si>
    <t>Monitized value of safety</t>
  </si>
  <si>
    <t>2040 Monitized value of AQ reduction</t>
  </si>
  <si>
    <t xml:space="preserve">Daily reduction in auto VMT </t>
  </si>
  <si>
    <t>Daily</t>
  </si>
  <si>
    <t xml:space="preserve">Daily reduction in auto VHT </t>
  </si>
  <si>
    <t>Emission
factor in gm</t>
  </si>
  <si>
    <t>Monitizing
Factor</t>
  </si>
  <si>
    <t>Monitized value</t>
  </si>
  <si>
    <r>
      <rPr>
        <b/>
        <sz val="11"/>
        <color rgb="FF000000"/>
        <rFont val="Calibri"/>
        <family val="2"/>
      </rPr>
      <t>Co</t>
    </r>
    <r>
      <rPr>
        <sz val="11"/>
        <color rgb="FF000000"/>
        <rFont val="Calibri"/>
        <family val="2"/>
      </rPr>
      <t xml:space="preserve"> reduction due 
to VMT reduction</t>
    </r>
  </si>
  <si>
    <r>
      <rPr>
        <b/>
        <sz val="11"/>
        <color rgb="FF000000"/>
        <rFont val="Calibri"/>
        <family val="2"/>
      </rPr>
      <t>Nox</t>
    </r>
    <r>
      <rPr>
        <sz val="11"/>
        <color rgb="FF000000"/>
        <rFont val="Calibri"/>
        <family val="2"/>
      </rPr>
      <t xml:space="preserve"> reduction due
 to VMT reduction</t>
    </r>
  </si>
  <si>
    <r>
      <rPr>
        <b/>
        <sz val="11"/>
        <color rgb="FF000000"/>
        <rFont val="Calibri"/>
        <family val="2"/>
      </rPr>
      <t>VOC</t>
    </r>
    <r>
      <rPr>
        <sz val="11"/>
        <color rgb="FF000000"/>
        <rFont val="Calibri"/>
        <family val="2"/>
      </rPr>
      <t xml:space="preserve"> reduction due 
to VMT reduction</t>
    </r>
  </si>
  <si>
    <r>
      <rPr>
        <b/>
        <sz val="11"/>
        <color rgb="FF000000"/>
        <rFont val="Calibri"/>
        <family val="2"/>
      </rPr>
      <t>PM</t>
    </r>
    <r>
      <rPr>
        <sz val="11"/>
        <color rgb="FF000000"/>
        <rFont val="Calibri"/>
        <family val="2"/>
      </rPr>
      <t xml:space="preserve">  reduction due 
to VMT reduction</t>
    </r>
  </si>
  <si>
    <t>A</t>
  </si>
  <si>
    <t>B</t>
  </si>
  <si>
    <t>Fatality factor</t>
  </si>
  <si>
    <t>per million VMT</t>
  </si>
  <si>
    <t>Injury factor</t>
  </si>
  <si>
    <t>Value of life</t>
  </si>
  <si>
    <t>per life</t>
  </si>
  <si>
    <t>Injury</t>
  </si>
  <si>
    <t>per injury</t>
  </si>
  <si>
    <t>Monitized value
 of safety</t>
  </si>
  <si>
    <t>A:</t>
  </si>
  <si>
    <t>Monetization of Emissions Reduction Benefits - U.S. Department of ...</t>
  </si>
  <si>
    <t>B:</t>
  </si>
  <si>
    <t>www.catf.us/resources/filings/IAQR/CATF_IAQR_Appendices.pdf</t>
  </si>
  <si>
    <t>AQ and Safety Impacts</t>
  </si>
  <si>
    <t>Daily travel time savings</t>
  </si>
  <si>
    <t>New trips</t>
  </si>
  <si>
    <t>Average trip length of diverted auto trip</t>
  </si>
  <si>
    <t>Daily VMT reduced</t>
  </si>
  <si>
    <t>Daily reduction in 
Emission in Kg</t>
  </si>
  <si>
    <t>Reduction in Kg</t>
  </si>
  <si>
    <t>Auto vehicle diversion</t>
  </si>
  <si>
    <t>2040 Daily increase in ridership</t>
  </si>
  <si>
    <t>Ridership Calculations for Universal Accessibility Improvements</t>
  </si>
  <si>
    <t>Current local bus ridership</t>
  </si>
  <si>
    <t>Average trip time on local buses</t>
  </si>
  <si>
    <t>Average access time on local buses</t>
  </si>
  <si>
    <t>Assumed Reduction in access time</t>
  </si>
  <si>
    <t>Average total time in perceived minutes
before access improvements</t>
  </si>
  <si>
    <t>Average total time in perceived minutes
after access improvements</t>
  </si>
  <si>
    <t>Percent reduction in total perceived time</t>
  </si>
  <si>
    <t>Travel time Elasticity used</t>
  </si>
  <si>
    <t>Assume 50 % of the increase is from auto
diversion</t>
  </si>
  <si>
    <t>New transit trips</t>
  </si>
  <si>
    <t>Average trip length on local buses</t>
  </si>
  <si>
    <t>Auto VMT reduction</t>
  </si>
  <si>
    <t>Universal Accessibility Improvements</t>
  </si>
  <si>
    <t>TIP Project Name: Universal Accessibility Improvements</t>
  </si>
  <si>
    <t>Auto Diversion, New Trips and VMT reduction</t>
  </si>
  <si>
    <t>Travel time savings</t>
  </si>
  <si>
    <t xml:space="preserve">This statistic is difficult to quantify accurately. So, the following assumptions were made to </t>
  </si>
  <si>
    <t>estimate the time savings approximately. Assumptions are very conservative.</t>
  </si>
  <si>
    <t>About 2 to 3 minute out-of-vehicle time savings (includes access to and egress from bus stops) is possible from Universal Access Improvements</t>
  </si>
  <si>
    <t>Out-of-vehicle time is perceived 2.5 times more onerous than in-vehicle travel time</t>
  </si>
  <si>
    <t>Calculations:</t>
  </si>
  <si>
    <t>Trips benefiting from Accessibility Improvements
(from Assumption # 2 above)</t>
  </si>
  <si>
    <t>Average Out-of-vehicle time savings per trip
(from assumption #1 above)</t>
  </si>
  <si>
    <t>Time Savings per trip in terms of In-vehicle time</t>
  </si>
  <si>
    <t>Total time savings for Local bus trips</t>
  </si>
  <si>
    <t>See Rdrshp-Auto Diversion&amp;VMT tab</t>
  </si>
  <si>
    <t>2021 Projected Local Bus ridership under No Build
(i.e. no Universal accessibility improvements )</t>
  </si>
  <si>
    <t>2040 Monitized value of safety improvement</t>
  </si>
  <si>
    <t/>
  </si>
  <si>
    <t>Total monetary benefit</t>
  </si>
  <si>
    <t>Potential 2021 ridership on local bus system</t>
  </si>
  <si>
    <t>2021 No build ridership</t>
  </si>
  <si>
    <t>2021 Build ridership</t>
  </si>
  <si>
    <t>2021 Local Bus ridership in the Build Scenario 
(i.e. with Universal Accessibility Improvements)</t>
  </si>
  <si>
    <t>2021 linked local bus trips in the system</t>
  </si>
  <si>
    <t>%</t>
  </si>
  <si>
    <t>Monetized value of time savings</t>
  </si>
  <si>
    <t>Based on the current % of bus stops that need accesibility improvements</t>
  </si>
  <si>
    <t>Benefits Calculation Methodology</t>
  </si>
  <si>
    <t>VMT reduction and Air Pollution Reduction</t>
  </si>
  <si>
    <t>Start with current observed daily ridership on thebus system</t>
  </si>
  <si>
    <t xml:space="preserve">Using the auto VMT reduction and emission factors for various pollutants, estimate the reduction in emissions </t>
  </si>
  <si>
    <t>Using monetization factors recommended by FTA, monetize the benefits of air quality improvement</t>
  </si>
  <si>
    <t>Monetize time savings by applying average value of time ($17.73) suggested by H-GAC</t>
  </si>
  <si>
    <t>Potential increase in 2021 local bus ridership</t>
  </si>
  <si>
    <t>Apply 5.1 percent increase to establish the ridership level for the year 2021 (5.1 % increase is based on growth in population and employment from 2018 to 2021)</t>
  </si>
  <si>
    <t xml:space="preserve">Estimate average travel time on the bus system using regional model results. Express travel time in perceived minutes by applying a weight of 2.5 on out-of-vehicle times such as </t>
  </si>
  <si>
    <t>walking to a stop from origin location, walking to final destination, waiting for the bus at initial boarding location, waiting for the bus at transfer station.</t>
  </si>
  <si>
    <t>Assume the accessibility improvements will in general reduce access time by 3 min</t>
  </si>
  <si>
    <t xml:space="preserve">Re-estimate average travel time on the bus system using reduced access time. </t>
  </si>
  <si>
    <t>Calculate the percent improvement in overal average travel time</t>
  </si>
  <si>
    <t>Apply a travel time elasticity of -0.35 and detrmine the percent increase in ridership resulting from access improvement</t>
  </si>
  <si>
    <t>Assume 50% of the ridership increase from the above step comes from auto diversion (new users)</t>
  </si>
  <si>
    <t>Convert new users to auto vehicle trips. This will be the number of auto vehcile trips reduced on the highway system</t>
  </si>
  <si>
    <t>Using an average trip length of 7.56 miles for bus and the auto trip reduction, estimate the number of vehcile miles reduced on the highway system. This is the VMT reduction</t>
  </si>
  <si>
    <t>Convert the above to linked trips (i.e. transfers excluded)</t>
  </si>
  <si>
    <t>Start with 2021 ridership estimated in Step 2 above</t>
  </si>
  <si>
    <t xml:space="preserve">Estimate the percent of current active bus stops that are not Accessibility complaint (from METRO data). </t>
  </si>
  <si>
    <t>Apply the above percentage to linked trips to estimate the number of riders who would benefit from accessibility improvments</t>
  </si>
  <si>
    <t>Assume each rider would get a time savings of 2.5 minutes in access time from this project</t>
  </si>
  <si>
    <t>Multiply riders from Step 4  by 2.5 min to estimate total time savings</t>
  </si>
  <si>
    <t>From METRO data</t>
  </si>
  <si>
    <t>Percent of transit stops already accessibility Complaint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</si>
</sst>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8" formatCode="&quot;$&quot;#,##0.00_);[Red]\(&quot;$&quot;#,##0.00\)"/>
    <numFmt numFmtId="42" formatCode="_(&quot;$&quot;* #,##0_);_(&quot;$&quot;* \(#,##0\);_(&quot;$&quot;* &quot;-&quot;_);_(@_)"/>
    <numFmt numFmtId="44" formatCode="_(&quot;$&quot;* #,##0.00_);_(&quot;$&quot;* \(#,##0.00\);_(&quot;$&quot;* &quot;-&quot;??_);_(@_)"/>
  </numFmts>
  <fonts count="22"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sz val="18"/>
      <color theme="1"/>
      <name val="Calibri"/>
      <family val="2"/>
      <scheme val="minor"/>
    </font>
    <font>
      <b/>
      <sz val="16"/>
      <color rgb="FFFF0000"/>
      <name val="Calibri"/>
      <family val="2"/>
      <scheme val="minor"/>
    </font>
    <font>
      <b/>
      <sz val="11"/>
      <color rgb="FF000000"/>
      <name val="Calibri"/>
      <family val="2"/>
    </font>
    <font>
      <sz val="11"/>
      <color rgb="FF000000"/>
      <name val="Calibri"/>
      <family val="2"/>
    </font>
    <font>
      <b/>
      <sz val="14"/>
      <color rgb="FF7030A0"/>
      <name val="Calibri"/>
      <family val="2"/>
    </font>
    <font>
      <b/>
      <sz val="11"/>
      <color rgb="FFC00000"/>
      <name val="Calibri"/>
      <family val="2"/>
    </font>
    <font>
      <sz val="11"/>
      <color rgb="FF006621"/>
      <name val="Arial"/>
      <family val="2"/>
    </font>
    <font>
      <u/>
      <sz val="11"/>
      <color rgb="FF0000FF"/>
      <name val="Calibri"/>
      <family val="2"/>
      <scheme val="minor"/>
    </font>
    <font>
      <u/>
      <sz val="11"/>
      <color rgb="FF0000FF"/>
      <name val="Calibri"/>
      <family val="2"/>
    </font>
    <font>
      <b/>
      <sz val="14"/>
      <color rgb="FF000000"/>
      <name val="Calibri"/>
      <family val="2"/>
    </font>
    <font>
      <sz val="11"/>
      <color rgb="FF0070C0"/>
      <name val="Calibri"/>
      <family val="2"/>
      <scheme val="minor"/>
    </font>
    <font>
      <b/>
      <sz val="11"/>
      <color rgb="FF0070C0"/>
      <name val="Calibri"/>
      <family val="2"/>
      <scheme val="minor"/>
    </font>
    <font>
      <sz val="11"/>
      <color theme="1"/>
      <name val="Calibri"/>
      <family val="2"/>
    </font>
    <font>
      <b/>
      <sz val="14"/>
      <color rgb="FFFF0000"/>
      <name val="Calibri"/>
      <family val="2"/>
    </font>
    <font>
      <b/>
      <sz val="11"/>
      <color rgb="FF0070C0"/>
      <name val="Calibri"/>
      <family val="2"/>
    </font>
    <font>
      <b/>
      <sz val="20"/>
      <color theme="1"/>
      <name val="Calibri"/>
      <family val="2"/>
      <scheme val="minor"/>
    </font>
    <font>
      <b/>
      <sz val="16"/>
      <color rgb="FF000000"/>
      <name val="Calibri"/>
      <family val="2"/>
    </font>
  </fonts>
  <fills count="4">
    <fill>
      <patternFill patternType="none"/>
    </fill>
    <fill>
      <patternFill patternType="gray125"/>
    </fill>
    <fill>
      <patternFill patternType="solid">
        <fgColor rgb="FFFFFF00"/>
        <bgColor rgb="FF000000"/>
      </patternFill>
    </fill>
    <fill>
      <patternFill patternType="solid">
        <fgColor theme="0" tint="-4.9989318521683403E-2"/>
        <bgColor indexed="64"/>
      </patternFill>
    </fill>
  </fills>
  <borders count="22">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medium">
        <color indexed="64"/>
      </right>
      <top style="medium">
        <color indexed="64"/>
      </top>
      <bottom style="medium">
        <color indexed="64"/>
      </bottom>
      <diagonal/>
    </border>
    <border>
      <left/>
      <right style="medium">
        <color auto="1"/>
      </right>
      <top/>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thin">
        <color indexed="64"/>
      </bottom>
      <diagonal/>
    </border>
    <border>
      <left/>
      <right/>
      <top/>
      <bottom style="thin">
        <color indexed="64"/>
      </bottom>
      <diagonal/>
    </border>
    <border>
      <left/>
      <right style="medium">
        <color auto="1"/>
      </right>
      <top/>
      <bottom style="thin">
        <color indexed="64"/>
      </bottom>
      <diagonal/>
    </border>
  </borders>
  <cellStyleXfs count="4">
    <xf numFmtId="0" fontId="0" fillId="0" borderId="0"/>
    <xf numFmtId="44" fontId="1" fillId="0" borderId="0" applyFont="0" applyFill="0" applyBorder="0" applyAlignment="0" applyProtection="0"/>
    <xf numFmtId="0" fontId="12" fillId="0" borderId="0" applyNumberFormat="0" applyFill="0" applyBorder="0" applyAlignment="0" applyProtection="0"/>
    <xf numFmtId="9" fontId="1" fillId="0" borderId="0" applyFont="0" applyFill="0" applyBorder="0" applyAlignment="0" applyProtection="0"/>
  </cellStyleXfs>
  <cellXfs count="85">
    <xf numFmtId="0" fontId="0" fillId="0" borderId="0" xfId="0"/>
    <xf numFmtId="0" fontId="0" fillId="0" borderId="0" xfId="0" applyBorder="1"/>
    <xf numFmtId="3" fontId="0" fillId="0" borderId="0" xfId="0" applyNumberFormat="1" applyBorder="1"/>
    <xf numFmtId="0" fontId="3" fillId="0" borderId="0" xfId="0" applyFont="1"/>
    <xf numFmtId="0" fontId="6" fillId="0" borderId="0" xfId="0" applyFont="1"/>
    <xf numFmtId="0" fontId="7" fillId="0" borderId="0" xfId="0" applyFont="1" applyFill="1" applyBorder="1"/>
    <xf numFmtId="0" fontId="8" fillId="0" borderId="0" xfId="0" applyFont="1" applyFill="1" applyBorder="1"/>
    <xf numFmtId="3" fontId="9" fillId="2" borderId="9" xfId="0" applyNumberFormat="1" applyFont="1" applyFill="1" applyBorder="1"/>
    <xf numFmtId="3" fontId="7" fillId="0" borderId="9" xfId="0" applyNumberFormat="1" applyFont="1" applyFill="1" applyBorder="1"/>
    <xf numFmtId="0" fontId="7" fillId="0" borderId="0" xfId="0" applyFont="1" applyFill="1" applyBorder="1" applyAlignment="1">
      <alignment horizontal="right" wrapText="1"/>
    </xf>
    <xf numFmtId="0" fontId="7" fillId="0" borderId="0" xfId="0" applyFont="1" applyFill="1" applyBorder="1" applyAlignment="1">
      <alignment horizontal="right"/>
    </xf>
    <xf numFmtId="0" fontId="8" fillId="0" borderId="0" xfId="0" applyFont="1" applyFill="1" applyBorder="1" applyAlignment="1">
      <alignment wrapText="1"/>
    </xf>
    <xf numFmtId="2" fontId="10" fillId="0" borderId="0" xfId="0" applyNumberFormat="1" applyFont="1" applyFill="1" applyBorder="1"/>
    <xf numFmtId="4" fontId="10" fillId="0" borderId="0" xfId="0" applyNumberFormat="1" applyFont="1" applyFill="1" applyBorder="1"/>
    <xf numFmtId="42" fontId="10" fillId="0" borderId="0" xfId="1" applyNumberFormat="1" applyFont="1" applyFill="1" applyBorder="1"/>
    <xf numFmtId="44" fontId="8" fillId="0" borderId="0" xfId="0" applyNumberFormat="1" applyFont="1" applyFill="1" applyBorder="1"/>
    <xf numFmtId="0" fontId="11" fillId="0" borderId="0" xfId="0" applyFont="1" applyFill="1" applyBorder="1"/>
    <xf numFmtId="44" fontId="8" fillId="0" borderId="0" xfId="1" applyFont="1" applyFill="1" applyBorder="1"/>
    <xf numFmtId="8" fontId="8" fillId="0" borderId="0" xfId="0" applyNumberFormat="1" applyFont="1" applyFill="1" applyBorder="1"/>
    <xf numFmtId="0" fontId="8" fillId="0" borderId="10" xfId="0" applyFont="1" applyFill="1" applyBorder="1" applyAlignment="1">
      <alignment wrapText="1"/>
    </xf>
    <xf numFmtId="0" fontId="7" fillId="0" borderId="11" xfId="0" applyFont="1" applyFill="1" applyBorder="1" applyAlignment="1">
      <alignment wrapText="1"/>
    </xf>
    <xf numFmtId="5" fontId="8" fillId="0" borderId="0" xfId="0" applyNumberFormat="1" applyFont="1" applyFill="1" applyBorder="1"/>
    <xf numFmtId="0" fontId="13" fillId="0" borderId="0" xfId="2" applyFont="1" applyFill="1" applyBorder="1" applyAlignment="1">
      <alignment vertical="center"/>
    </xf>
    <xf numFmtId="0" fontId="14" fillId="0" borderId="0" xfId="0" applyFont="1" applyFill="1" applyBorder="1"/>
    <xf numFmtId="0" fontId="4" fillId="0" borderId="12" xfId="0" applyFont="1" applyBorder="1"/>
    <xf numFmtId="0" fontId="0" fillId="0" borderId="13" xfId="0" applyBorder="1"/>
    <xf numFmtId="0" fontId="0" fillId="0" borderId="14" xfId="0" applyBorder="1"/>
    <xf numFmtId="0" fontId="0" fillId="0" borderId="15" xfId="0" applyBorder="1"/>
    <xf numFmtId="0" fontId="0" fillId="0" borderId="10" xfId="0" applyBorder="1"/>
    <xf numFmtId="0" fontId="0" fillId="0" borderId="16" xfId="0" applyBorder="1"/>
    <xf numFmtId="0" fontId="0" fillId="0" borderId="17" xfId="0" applyBorder="1"/>
    <xf numFmtId="0" fontId="0" fillId="0" borderId="18" xfId="0" applyBorder="1"/>
    <xf numFmtId="0" fontId="0" fillId="0" borderId="0" xfId="0" quotePrefix="1" applyAlignment="1">
      <alignment horizontal="right"/>
    </xf>
    <xf numFmtId="0" fontId="15" fillId="0" borderId="15" xfId="0" applyFont="1" applyBorder="1"/>
    <xf numFmtId="0" fontId="15" fillId="0" borderId="0" xfId="0" applyFont="1" applyBorder="1"/>
    <xf numFmtId="0" fontId="16" fillId="0" borderId="15" xfId="0" applyFont="1" applyBorder="1"/>
    <xf numFmtId="0" fontId="16" fillId="0" borderId="0" xfId="0" applyFont="1" applyBorder="1"/>
    <xf numFmtId="0" fontId="16" fillId="0" borderId="0" xfId="0" applyFont="1" applyBorder="1" applyAlignment="1">
      <alignment horizontal="right"/>
    </xf>
    <xf numFmtId="0" fontId="0" fillId="0" borderId="19" xfId="0" applyBorder="1"/>
    <xf numFmtId="0" fontId="0" fillId="0" borderId="20" xfId="0" applyBorder="1"/>
    <xf numFmtId="0" fontId="0" fillId="0" borderId="21" xfId="0" applyBorder="1"/>
    <xf numFmtId="42" fontId="0" fillId="0" borderId="0" xfId="0" applyNumberFormat="1" applyBorder="1"/>
    <xf numFmtId="0" fontId="15" fillId="0" borderId="15" xfId="0" applyFont="1" applyBorder="1" applyAlignment="1">
      <alignment horizontal="right"/>
    </xf>
    <xf numFmtId="2" fontId="15" fillId="0" borderId="0" xfId="0" applyNumberFormat="1" applyFont="1" applyBorder="1"/>
    <xf numFmtId="0" fontId="0" fillId="3" borderId="1" xfId="0" applyFill="1" applyBorder="1"/>
    <xf numFmtId="0" fontId="0" fillId="3" borderId="2" xfId="0" applyFill="1" applyBorder="1"/>
    <xf numFmtId="0" fontId="0" fillId="3" borderId="3" xfId="0" applyFill="1" applyBorder="1"/>
    <xf numFmtId="0" fontId="0" fillId="3" borderId="4" xfId="0" applyFill="1" applyBorder="1"/>
    <xf numFmtId="3" fontId="0" fillId="3" borderId="0" xfId="0" applyNumberFormat="1"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5" fillId="0" borderId="0" xfId="0" applyFont="1"/>
    <xf numFmtId="0" fontId="17" fillId="0" borderId="0" xfId="0" applyFont="1" applyFill="1" applyBorder="1"/>
    <xf numFmtId="3" fontId="17" fillId="0" borderId="0" xfId="0" applyNumberFormat="1" applyFont="1" applyFill="1" applyBorder="1"/>
    <xf numFmtId="0" fontId="17" fillId="0" borderId="12" xfId="0" applyFont="1" applyFill="1" applyBorder="1"/>
    <xf numFmtId="0" fontId="17" fillId="0" borderId="13" xfId="0" applyFont="1" applyFill="1" applyBorder="1"/>
    <xf numFmtId="3" fontId="17" fillId="0" borderId="13" xfId="0" applyNumberFormat="1" applyFont="1" applyFill="1" applyBorder="1"/>
    <xf numFmtId="0" fontId="17" fillId="0" borderId="14" xfId="0" applyFont="1" applyFill="1" applyBorder="1"/>
    <xf numFmtId="0" fontId="17" fillId="0" borderId="15" xfId="0" applyFont="1" applyFill="1" applyBorder="1"/>
    <xf numFmtId="0" fontId="17" fillId="0" borderId="0" xfId="0" applyFont="1" applyFill="1" applyBorder="1" applyAlignment="1">
      <alignment wrapText="1"/>
    </xf>
    <xf numFmtId="0" fontId="17" fillId="0" borderId="10" xfId="0" applyFont="1" applyFill="1" applyBorder="1"/>
    <xf numFmtId="0" fontId="18" fillId="0" borderId="0" xfId="0" applyFont="1" applyFill="1" applyBorder="1"/>
    <xf numFmtId="9" fontId="17" fillId="0" borderId="10" xfId="0" applyNumberFormat="1" applyFont="1" applyFill="1" applyBorder="1"/>
    <xf numFmtId="2" fontId="17" fillId="0" borderId="0" xfId="3" applyNumberFormat="1" applyFont="1" applyFill="1" applyBorder="1"/>
    <xf numFmtId="0" fontId="19" fillId="0" borderId="0" xfId="0" applyFont="1" applyFill="1" applyBorder="1"/>
    <xf numFmtId="3" fontId="19" fillId="0" borderId="0" xfId="0" applyNumberFormat="1" applyFont="1" applyFill="1" applyBorder="1"/>
    <xf numFmtId="0" fontId="17" fillId="0" borderId="16" xfId="0" applyFont="1" applyFill="1" applyBorder="1"/>
    <xf numFmtId="0" fontId="17" fillId="0" borderId="17" xfId="0" applyFont="1" applyFill="1" applyBorder="1"/>
    <xf numFmtId="0" fontId="17" fillId="0" borderId="18" xfId="0" applyFont="1" applyFill="1" applyBorder="1"/>
    <xf numFmtId="0" fontId="0" fillId="0" borderId="0" xfId="0" applyAlignment="1">
      <alignment wrapText="1"/>
    </xf>
    <xf numFmtId="0" fontId="2" fillId="0" borderId="0" xfId="0" applyFont="1"/>
    <xf numFmtId="3" fontId="0" fillId="0" borderId="0" xfId="0" applyNumberFormat="1"/>
    <xf numFmtId="3" fontId="2" fillId="0" borderId="0" xfId="0" applyNumberFormat="1" applyFont="1"/>
    <xf numFmtId="42" fontId="16" fillId="0" borderId="0" xfId="0" applyNumberFormat="1" applyFont="1" applyBorder="1"/>
    <xf numFmtId="0" fontId="16" fillId="0" borderId="15" xfId="0" applyFont="1" applyBorder="1" applyAlignment="1">
      <alignment horizontal="left"/>
    </xf>
    <xf numFmtId="0" fontId="0" fillId="0" borderId="15" xfId="0" quotePrefix="1" applyBorder="1"/>
    <xf numFmtId="0" fontId="4" fillId="0" borderId="15" xfId="0" applyFont="1" applyBorder="1"/>
    <xf numFmtId="0" fontId="4" fillId="0" borderId="0" xfId="0" applyFont="1" applyBorder="1"/>
    <xf numFmtId="42" fontId="4" fillId="0" borderId="0" xfId="0" applyNumberFormat="1" applyFont="1" applyBorder="1"/>
    <xf numFmtId="0" fontId="20" fillId="0" borderId="0" xfId="0" applyFont="1" applyBorder="1"/>
    <xf numFmtId="42" fontId="0" fillId="0" borderId="0" xfId="1" applyNumberFormat="1" applyFont="1" applyBorder="1"/>
    <xf numFmtId="0" fontId="21" fillId="0" borderId="0" xfId="0" applyFont="1" applyFill="1" applyBorder="1"/>
  </cellXfs>
  <cellStyles count="4">
    <cellStyle name="Currency" xfId="1" builtinId="4"/>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hyperlink" Target="https://www.google.com/url?url=https://www1.eere.energy.gov/buildings/appliance_standards/commercial/pdfs/dt_prelim_tsdch16.pdf&amp;rct=j&amp;frm=1&amp;q=&amp;esrc=s&amp;sa=U&amp;ei=drVKVIaCFcr88AHP8ICwCA&amp;ved=0CCwQFjAF&amp;usg=AFQjCNHTY5cTRrerDy1ugpNKlj57QpmW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C27"/>
  <sheetViews>
    <sheetView topLeftCell="A6" workbookViewId="0">
      <selection activeCell="O20" sqref="O20"/>
    </sheetView>
  </sheetViews>
  <sheetFormatPr defaultRowHeight="15" x14ac:dyDescent="0.25"/>
  <cols>
    <col min="1" max="16384" width="9.140625" style="55"/>
  </cols>
  <sheetData>
    <row r="3" spans="2:3" ht="21" x14ac:dyDescent="0.35">
      <c r="B3" s="84" t="s">
        <v>86</v>
      </c>
    </row>
    <row r="4" spans="2:3" x14ac:dyDescent="0.25">
      <c r="B4" s="5" t="s">
        <v>87</v>
      </c>
    </row>
    <row r="5" spans="2:3" x14ac:dyDescent="0.25">
      <c r="B5" s="55">
        <v>1</v>
      </c>
      <c r="C5" s="55" t="s">
        <v>88</v>
      </c>
    </row>
    <row r="6" spans="2:3" x14ac:dyDescent="0.25">
      <c r="B6" s="55">
        <v>2</v>
      </c>
      <c r="C6" s="55" t="s">
        <v>93</v>
      </c>
    </row>
    <row r="7" spans="2:3" x14ac:dyDescent="0.25">
      <c r="B7" s="55">
        <v>3</v>
      </c>
      <c r="C7" s="55" t="s">
        <v>94</v>
      </c>
    </row>
    <row r="8" spans="2:3" x14ac:dyDescent="0.25">
      <c r="C8" s="55" t="s">
        <v>95</v>
      </c>
    </row>
    <row r="9" spans="2:3" x14ac:dyDescent="0.25">
      <c r="B9" s="55">
        <v>4</v>
      </c>
      <c r="C9" s="55" t="s">
        <v>96</v>
      </c>
    </row>
    <row r="10" spans="2:3" x14ac:dyDescent="0.25">
      <c r="B10" s="55">
        <v>5</v>
      </c>
      <c r="C10" s="55" t="s">
        <v>97</v>
      </c>
    </row>
    <row r="11" spans="2:3" x14ac:dyDescent="0.25">
      <c r="B11" s="55">
        <v>6</v>
      </c>
      <c r="C11" s="55" t="s">
        <v>98</v>
      </c>
    </row>
    <row r="12" spans="2:3" x14ac:dyDescent="0.25">
      <c r="B12" s="55">
        <v>7</v>
      </c>
      <c r="C12" s="55" t="s">
        <v>99</v>
      </c>
    </row>
    <row r="13" spans="2:3" x14ac:dyDescent="0.25">
      <c r="B13" s="55">
        <v>8</v>
      </c>
      <c r="C13" s="55" t="s">
        <v>100</v>
      </c>
    </row>
    <row r="14" spans="2:3" x14ac:dyDescent="0.25">
      <c r="B14" s="55">
        <v>9</v>
      </c>
      <c r="C14" s="55" t="s">
        <v>101</v>
      </c>
    </row>
    <row r="15" spans="2:3" x14ac:dyDescent="0.25">
      <c r="B15" s="55">
        <v>10</v>
      </c>
      <c r="C15" s="55" t="s">
        <v>102</v>
      </c>
    </row>
    <row r="16" spans="2:3" x14ac:dyDescent="0.25">
      <c r="B16" s="55">
        <v>6</v>
      </c>
      <c r="C16" s="55" t="s">
        <v>89</v>
      </c>
    </row>
    <row r="17" spans="2:3" x14ac:dyDescent="0.25">
      <c r="B17" s="55">
        <v>7</v>
      </c>
      <c r="C17" s="55" t="s">
        <v>90</v>
      </c>
    </row>
    <row r="20" spans="2:3" x14ac:dyDescent="0.25">
      <c r="B20" s="5" t="s">
        <v>63</v>
      </c>
    </row>
    <row r="21" spans="2:3" x14ac:dyDescent="0.25">
      <c r="B21" s="55">
        <v>1</v>
      </c>
      <c r="C21" s="55" t="s">
        <v>104</v>
      </c>
    </row>
    <row r="22" spans="2:3" x14ac:dyDescent="0.25">
      <c r="B22" s="55">
        <v>2</v>
      </c>
      <c r="C22" s="55" t="s">
        <v>103</v>
      </c>
    </row>
    <row r="23" spans="2:3" x14ac:dyDescent="0.25">
      <c r="B23" s="55">
        <v>3</v>
      </c>
      <c r="C23" s="55" t="s">
        <v>105</v>
      </c>
    </row>
    <row r="24" spans="2:3" x14ac:dyDescent="0.25">
      <c r="B24" s="55">
        <v>4</v>
      </c>
      <c r="C24" s="55" t="s">
        <v>106</v>
      </c>
    </row>
    <row r="25" spans="2:3" x14ac:dyDescent="0.25">
      <c r="B25" s="55">
        <v>5</v>
      </c>
      <c r="C25" s="55" t="s">
        <v>107</v>
      </c>
    </row>
    <row r="26" spans="2:3" x14ac:dyDescent="0.25">
      <c r="B26" s="55">
        <v>6</v>
      </c>
      <c r="C26" s="55" t="s">
        <v>108</v>
      </c>
    </row>
    <row r="27" spans="2:3" x14ac:dyDescent="0.25">
      <c r="B27" s="55">
        <v>7</v>
      </c>
      <c r="C27" s="55" t="s">
        <v>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G32"/>
  <sheetViews>
    <sheetView tabSelected="1" zoomScale="80" zoomScaleNormal="80" workbookViewId="0">
      <selection activeCell="B2" sqref="B2:F32"/>
    </sheetView>
  </sheetViews>
  <sheetFormatPr defaultRowHeight="15" x14ac:dyDescent="0.25"/>
  <cols>
    <col min="2" max="2" width="47.28515625" customWidth="1"/>
    <col min="4" max="4" width="19.7109375" customWidth="1"/>
  </cols>
  <sheetData>
    <row r="2" spans="2:7" ht="26.25" x14ac:dyDescent="0.4">
      <c r="B2" s="82" t="s">
        <v>61</v>
      </c>
    </row>
    <row r="3" spans="2:7" ht="21" x14ac:dyDescent="0.35">
      <c r="B3" s="4" t="s">
        <v>1</v>
      </c>
    </row>
    <row r="4" spans="2:7" ht="15.75" thickBot="1" x14ac:dyDescent="0.3"/>
    <row r="5" spans="2:7" ht="18.75" x14ac:dyDescent="0.3">
      <c r="B5" s="24" t="s">
        <v>61</v>
      </c>
      <c r="C5" s="25"/>
      <c r="D5" s="25"/>
      <c r="E5" s="25"/>
      <c r="F5" s="26"/>
    </row>
    <row r="6" spans="2:7" x14ac:dyDescent="0.25">
      <c r="B6" s="27"/>
      <c r="C6" s="1"/>
      <c r="D6" s="1"/>
      <c r="E6" s="1"/>
      <c r="F6" s="28"/>
    </row>
    <row r="7" spans="2:7" x14ac:dyDescent="0.25">
      <c r="B7" s="27" t="s">
        <v>46</v>
      </c>
      <c r="C7" s="1"/>
      <c r="D7" s="2">
        <f>'Rdrshp-Auto diversion&amp;VMT'!D21-'Rdrshp-Auto diversion&amp;VMT'!D5</f>
        <v>6971.9537601626071</v>
      </c>
      <c r="E7" s="1"/>
      <c r="F7" s="28"/>
      <c r="G7" t="s">
        <v>73</v>
      </c>
    </row>
    <row r="8" spans="2:7" x14ac:dyDescent="0.25">
      <c r="B8" s="27"/>
      <c r="C8" s="1"/>
      <c r="D8" s="1"/>
      <c r="E8" s="1"/>
      <c r="F8" s="28"/>
    </row>
    <row r="9" spans="2:7" x14ac:dyDescent="0.25">
      <c r="B9" s="27" t="s">
        <v>2</v>
      </c>
      <c r="C9" s="1"/>
      <c r="D9" s="2">
        <f>'Rdrshp-Auto diversion&amp;VMT'!D25</f>
        <v>3485.9768800813008</v>
      </c>
      <c r="E9" s="1"/>
      <c r="F9" s="28"/>
      <c r="G9" t="s">
        <v>73</v>
      </c>
    </row>
    <row r="10" spans="2:7" x14ac:dyDescent="0.25">
      <c r="B10" s="27"/>
      <c r="C10" s="1"/>
      <c r="D10" s="1"/>
      <c r="E10" s="1"/>
      <c r="F10" s="28"/>
    </row>
    <row r="11" spans="2:7" x14ac:dyDescent="0.25">
      <c r="B11" s="27" t="s">
        <v>3</v>
      </c>
      <c r="C11" s="1"/>
      <c r="D11" s="1">
        <f>ROUNDUP((D9/1.18),0)</f>
        <v>2955</v>
      </c>
      <c r="E11" s="1"/>
      <c r="F11" s="28"/>
      <c r="G11" t="s">
        <v>73</v>
      </c>
    </row>
    <row r="12" spans="2:7" x14ac:dyDescent="0.25">
      <c r="B12" s="27"/>
      <c r="C12" s="1"/>
      <c r="D12" s="1"/>
      <c r="E12" s="1"/>
      <c r="F12" s="28"/>
    </row>
    <row r="13" spans="2:7" x14ac:dyDescent="0.25">
      <c r="B13" s="27" t="s">
        <v>4</v>
      </c>
      <c r="C13" s="1"/>
      <c r="D13" s="2">
        <f>'Rdrshp-Auto diversion&amp;VMT'!D31</f>
        <v>22333.885774080198</v>
      </c>
      <c r="E13" s="1"/>
      <c r="F13" s="28"/>
      <c r="G13" t="s">
        <v>73</v>
      </c>
    </row>
    <row r="14" spans="2:7" x14ac:dyDescent="0.25">
      <c r="B14" s="38"/>
      <c r="C14" s="39"/>
      <c r="D14" s="39"/>
      <c r="E14" s="39"/>
      <c r="F14" s="40"/>
    </row>
    <row r="15" spans="2:7" x14ac:dyDescent="0.25">
      <c r="B15" s="35" t="s">
        <v>5</v>
      </c>
      <c r="C15" s="36"/>
      <c r="D15" s="37" t="s">
        <v>15</v>
      </c>
      <c r="E15" s="1"/>
      <c r="F15" s="28"/>
    </row>
    <row r="16" spans="2:7" x14ac:dyDescent="0.25">
      <c r="B16" s="35"/>
      <c r="C16" s="36"/>
      <c r="D16" s="37" t="s">
        <v>44</v>
      </c>
      <c r="E16" s="1"/>
      <c r="F16" s="28"/>
    </row>
    <row r="17" spans="2:6" x14ac:dyDescent="0.25">
      <c r="B17" s="42" t="s">
        <v>6</v>
      </c>
      <c r="C17" s="34"/>
      <c r="D17" s="43">
        <f>'AQ reduction &amp; Safety Imprvmnt'!E7</f>
        <v>374.53926443132519</v>
      </c>
      <c r="E17" s="1"/>
      <c r="F17" s="28"/>
    </row>
    <row r="18" spans="2:6" x14ac:dyDescent="0.25">
      <c r="B18" s="42" t="s">
        <v>7</v>
      </c>
      <c r="C18" s="34"/>
      <c r="D18" s="43">
        <f>'AQ reduction &amp; Safety Imprvmnt'!E8</f>
        <v>20.323836054412997</v>
      </c>
      <c r="E18" s="1"/>
      <c r="F18" s="28"/>
    </row>
    <row r="19" spans="2:6" x14ac:dyDescent="0.25">
      <c r="B19" s="42" t="s">
        <v>8</v>
      </c>
      <c r="C19" s="34"/>
      <c r="D19" s="43">
        <f>'AQ reduction &amp; Safety Imprvmnt'!E9</f>
        <v>13.400331464448129</v>
      </c>
      <c r="E19" s="1"/>
      <c r="F19" s="28"/>
    </row>
    <row r="20" spans="2:6" x14ac:dyDescent="0.25">
      <c r="B20" s="42" t="s">
        <v>9</v>
      </c>
      <c r="C20" s="34"/>
      <c r="D20" s="43">
        <f>'AQ reduction &amp; Safety Imprvmnt'!E10</f>
        <v>0.22333885774080214</v>
      </c>
      <c r="E20" s="1"/>
      <c r="F20" s="28"/>
    </row>
    <row r="21" spans="2:6" x14ac:dyDescent="0.25">
      <c r="B21" s="42" t="s">
        <v>10</v>
      </c>
      <c r="C21" s="34"/>
      <c r="D21" s="43">
        <f>'AQ reduction &amp; Safety Imprvmnt'!E11</f>
        <v>9536.5692255322519</v>
      </c>
      <c r="E21" s="1"/>
      <c r="F21" s="28"/>
    </row>
    <row r="22" spans="2:6" x14ac:dyDescent="0.25">
      <c r="B22" s="42" t="s">
        <v>11</v>
      </c>
      <c r="C22" s="34"/>
      <c r="D22" s="43">
        <f>'AQ reduction &amp; Safety Imprvmnt'!E12</f>
        <v>9.3969824394442514E-2</v>
      </c>
      <c r="E22" s="1"/>
      <c r="F22" s="28"/>
    </row>
    <row r="23" spans="2:6" x14ac:dyDescent="0.25">
      <c r="B23" s="33"/>
      <c r="C23" s="34"/>
      <c r="D23" s="34"/>
      <c r="E23" s="1"/>
      <c r="F23" s="28"/>
    </row>
    <row r="24" spans="2:6" x14ac:dyDescent="0.25">
      <c r="B24" s="77" t="s">
        <v>13</v>
      </c>
      <c r="C24" s="34"/>
      <c r="D24" s="76">
        <f>'AQ reduction &amp; Safety Imprvmnt'!G14</f>
        <v>1439.5491056092328</v>
      </c>
      <c r="E24" s="1"/>
      <c r="F24" s="28"/>
    </row>
    <row r="25" spans="2:6" x14ac:dyDescent="0.25">
      <c r="B25" s="38"/>
      <c r="C25" s="39"/>
      <c r="D25" s="39"/>
      <c r="E25" s="39"/>
      <c r="F25" s="40"/>
    </row>
    <row r="26" spans="2:6" x14ac:dyDescent="0.25">
      <c r="B26" s="27" t="s">
        <v>75</v>
      </c>
      <c r="C26" s="1"/>
      <c r="D26" s="41">
        <f>'AQ reduction &amp; Safety Imprvmnt'!E23</f>
        <v>3208.1175211890918</v>
      </c>
      <c r="E26" s="1"/>
      <c r="F26" s="28"/>
    </row>
    <row r="27" spans="2:6" x14ac:dyDescent="0.25">
      <c r="B27" s="78" t="s">
        <v>76</v>
      </c>
      <c r="C27" s="1"/>
      <c r="D27" s="1"/>
      <c r="E27" s="1"/>
      <c r="F27" s="28"/>
    </row>
    <row r="28" spans="2:6" ht="18.75" x14ac:dyDescent="0.3">
      <c r="B28" s="79" t="s">
        <v>77</v>
      </c>
      <c r="C28" s="80"/>
      <c r="D28" s="81">
        <f>D24+D26</f>
        <v>4647.6666267983246</v>
      </c>
      <c r="E28" s="1"/>
      <c r="F28" s="28"/>
    </row>
    <row r="29" spans="2:6" x14ac:dyDescent="0.25">
      <c r="B29" s="27"/>
      <c r="C29" s="1"/>
      <c r="D29" s="1"/>
      <c r="E29" s="1"/>
      <c r="F29" s="28"/>
    </row>
    <row r="30" spans="2:6" x14ac:dyDescent="0.25">
      <c r="B30" s="27" t="s">
        <v>39</v>
      </c>
      <c r="C30" s="1"/>
      <c r="D30" s="2">
        <f>'TT savings'!D30</f>
        <v>9780.9487356087429</v>
      </c>
      <c r="E30" s="1" t="s">
        <v>0</v>
      </c>
      <c r="F30" s="28"/>
    </row>
    <row r="31" spans="2:6" x14ac:dyDescent="0.25">
      <c r="B31" s="27" t="s">
        <v>84</v>
      </c>
      <c r="C31" s="1"/>
      <c r="D31" s="83">
        <f>17.73*D30</f>
        <v>173416.22108234302</v>
      </c>
      <c r="E31" s="1"/>
      <c r="F31" s="28"/>
    </row>
    <row r="32" spans="2:6" ht="15.75" thickBot="1" x14ac:dyDescent="0.3">
      <c r="B32" s="29"/>
      <c r="C32" s="30"/>
      <c r="D32" s="30"/>
      <c r="E32" s="30"/>
      <c r="F32" s="31"/>
    </row>
  </sheetData>
  <pageMargins left="0.7" right="0.7" top="0.75" bottom="0.75" header="0.3" footer="0.3"/>
  <pageSetup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F30"/>
  <sheetViews>
    <sheetView topLeftCell="A7" zoomScale="80" zoomScaleNormal="80" workbookViewId="0">
      <selection activeCell="C22" sqref="C22"/>
    </sheetView>
  </sheetViews>
  <sheetFormatPr defaultRowHeight="15" x14ac:dyDescent="0.25"/>
  <cols>
    <col min="3" max="3" width="59.42578125" customWidth="1"/>
    <col min="4" max="4" width="17.85546875" customWidth="1"/>
    <col min="5" max="5" width="10" customWidth="1"/>
    <col min="6" max="6" width="19.7109375" customWidth="1"/>
    <col min="7" max="7" width="4.28515625" customWidth="1"/>
    <col min="8" max="8" width="17.140625" customWidth="1"/>
  </cols>
  <sheetData>
    <row r="2" spans="2:3" ht="23.25" x14ac:dyDescent="0.35">
      <c r="C2" s="54" t="s">
        <v>60</v>
      </c>
    </row>
    <row r="3" spans="2:3" ht="5.0999999999999996" customHeight="1" x14ac:dyDescent="0.25"/>
    <row r="4" spans="2:3" x14ac:dyDescent="0.25">
      <c r="C4" s="73" t="s">
        <v>63</v>
      </c>
    </row>
    <row r="6" spans="2:3" x14ac:dyDescent="0.25">
      <c r="C6" t="s">
        <v>64</v>
      </c>
    </row>
    <row r="7" spans="2:3" x14ac:dyDescent="0.25">
      <c r="C7" t="s">
        <v>65</v>
      </c>
    </row>
    <row r="8" spans="2:3" ht="5.0999999999999996" customHeight="1" x14ac:dyDescent="0.25"/>
    <row r="9" spans="2:3" x14ac:dyDescent="0.25">
      <c r="B9">
        <v>1</v>
      </c>
      <c r="C9" t="s">
        <v>66</v>
      </c>
    </row>
    <row r="10" spans="2:3" ht="5.0999999999999996" customHeight="1" x14ac:dyDescent="0.25"/>
    <row r="11" spans="2:3" x14ac:dyDescent="0.25">
      <c r="B11">
        <v>2</v>
      </c>
      <c r="C11" t="s">
        <v>85</v>
      </c>
    </row>
    <row r="12" spans="2:3" ht="5.0999999999999996" customHeight="1" x14ac:dyDescent="0.25"/>
    <row r="13" spans="2:3" x14ac:dyDescent="0.25">
      <c r="B13">
        <v>3</v>
      </c>
      <c r="C13" t="s">
        <v>67</v>
      </c>
    </row>
    <row r="14" spans="2:3" ht="5.0999999999999996" customHeight="1" x14ac:dyDescent="0.25"/>
    <row r="16" spans="2:3" x14ac:dyDescent="0.25">
      <c r="C16" s="73" t="s">
        <v>68</v>
      </c>
    </row>
    <row r="17" spans="3:6" ht="44.25" customHeight="1" x14ac:dyDescent="0.25">
      <c r="C17" s="72" t="s">
        <v>81</v>
      </c>
      <c r="D17" s="74">
        <f>'Rdrshp-Auto diversion&amp;VMT'!D21</f>
        <v>202983.45376016261</v>
      </c>
    </row>
    <row r="19" spans="3:6" x14ac:dyDescent="0.25">
      <c r="C19" t="s">
        <v>82</v>
      </c>
      <c r="D19" s="74">
        <f>D17/1.47</f>
        <v>138083.98214977048</v>
      </c>
    </row>
    <row r="21" spans="3:6" x14ac:dyDescent="0.25">
      <c r="C21" t="s">
        <v>110</v>
      </c>
      <c r="D21">
        <v>32</v>
      </c>
      <c r="E21" t="s">
        <v>83</v>
      </c>
      <c r="F21" t="s">
        <v>109</v>
      </c>
    </row>
    <row r="24" spans="3:6" ht="30" x14ac:dyDescent="0.25">
      <c r="C24" s="72" t="s">
        <v>69</v>
      </c>
      <c r="D24" s="74">
        <f>((100-D21)/100)*D19</f>
        <v>93897.107861843935</v>
      </c>
    </row>
    <row r="26" spans="3:6" ht="30" x14ac:dyDescent="0.25">
      <c r="C26" s="72" t="s">
        <v>70</v>
      </c>
      <c r="D26">
        <v>2.5</v>
      </c>
    </row>
    <row r="28" spans="3:6" x14ac:dyDescent="0.25">
      <c r="C28" t="s">
        <v>71</v>
      </c>
      <c r="D28">
        <f>2.5*D26</f>
        <v>6.25</v>
      </c>
    </row>
    <row r="30" spans="3:6" x14ac:dyDescent="0.25">
      <c r="C30" t="s">
        <v>72</v>
      </c>
      <c r="D30" s="75">
        <f>D24*D28/60</f>
        <v>9780.9487356087429</v>
      </c>
      <c r="E30" t="s">
        <v>0</v>
      </c>
    </row>
  </sheetData>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E14"/>
  <sheetViews>
    <sheetView zoomScale="80" zoomScaleNormal="80" workbookViewId="0">
      <selection activeCell="B7" sqref="B7"/>
    </sheetView>
  </sheetViews>
  <sheetFormatPr defaultRowHeight="15" x14ac:dyDescent="0.25"/>
  <cols>
    <col min="2" max="2" width="41.85546875" customWidth="1"/>
  </cols>
  <sheetData>
    <row r="2" spans="2:5" ht="15.75" x14ac:dyDescent="0.25">
      <c r="B2" s="3" t="s">
        <v>62</v>
      </c>
    </row>
    <row r="3" spans="2:5" ht="15.75" thickBot="1" x14ac:dyDescent="0.3"/>
    <row r="4" spans="2:5" ht="15.75" thickTop="1" x14ac:dyDescent="0.25">
      <c r="B4" s="44"/>
      <c r="C4" s="45"/>
      <c r="D4" s="46"/>
    </row>
    <row r="5" spans="2:5" x14ac:dyDescent="0.25">
      <c r="B5" s="47" t="s">
        <v>79</v>
      </c>
      <c r="C5" s="48">
        <f>'Rdrshp-Auto diversion&amp;VMT'!D5</f>
        <v>196011.5</v>
      </c>
      <c r="D5" s="49"/>
    </row>
    <row r="6" spans="2:5" x14ac:dyDescent="0.25">
      <c r="B6" s="47" t="s">
        <v>80</v>
      </c>
      <c r="C6" s="48">
        <f>'Rdrshp-Auto diversion&amp;VMT'!D21</f>
        <v>202983.45376016261</v>
      </c>
      <c r="D6" s="49"/>
    </row>
    <row r="7" spans="2:5" x14ac:dyDescent="0.25">
      <c r="B7" s="47"/>
      <c r="C7" s="50"/>
      <c r="D7" s="49"/>
    </row>
    <row r="8" spans="2:5" x14ac:dyDescent="0.25">
      <c r="B8" s="47" t="s">
        <v>40</v>
      </c>
      <c r="C8" s="48">
        <f>(C6-C5)*0.5</f>
        <v>3485.9768800813035</v>
      </c>
      <c r="D8" s="49"/>
      <c r="E8" s="32"/>
    </row>
    <row r="9" spans="2:5" x14ac:dyDescent="0.25">
      <c r="B9" s="47"/>
      <c r="C9" s="50"/>
      <c r="D9" s="49"/>
      <c r="E9" s="32"/>
    </row>
    <row r="10" spans="2:5" x14ac:dyDescent="0.25">
      <c r="B10" s="47" t="s">
        <v>41</v>
      </c>
      <c r="C10" s="50">
        <f>'Rdrshp-Auto diversion&amp;VMT'!D29</f>
        <v>7.56</v>
      </c>
      <c r="D10" s="49"/>
    </row>
    <row r="11" spans="2:5" x14ac:dyDescent="0.25">
      <c r="B11" s="47"/>
      <c r="C11" s="50"/>
      <c r="D11" s="49"/>
    </row>
    <row r="12" spans="2:5" x14ac:dyDescent="0.25">
      <c r="B12" s="47" t="s">
        <v>42</v>
      </c>
      <c r="C12" s="48">
        <f>(C8/1.18)*C10</f>
        <v>22333.885774080216</v>
      </c>
      <c r="D12" s="49"/>
    </row>
    <row r="13" spans="2:5" ht="15.75" thickBot="1" x14ac:dyDescent="0.3">
      <c r="B13" s="51"/>
      <c r="C13" s="52"/>
      <c r="D13" s="53"/>
    </row>
    <row r="14" spans="2:5" ht="15.75" thickTop="1"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K27"/>
  <sheetViews>
    <sheetView zoomScale="70" zoomScaleNormal="70" workbookViewId="0">
      <selection activeCell="K17" sqref="K17"/>
    </sheetView>
  </sheetViews>
  <sheetFormatPr defaultRowHeight="15" x14ac:dyDescent="0.25"/>
  <cols>
    <col min="1" max="1" width="9.140625" style="6"/>
    <col min="2" max="2" width="7.7109375" style="6" customWidth="1"/>
    <col min="3" max="3" width="27.85546875" style="6" customWidth="1"/>
    <col min="4" max="4" width="19.42578125" style="6" customWidth="1"/>
    <col min="5" max="5" width="20.5703125" style="6" customWidth="1"/>
    <col min="6" max="6" width="17.85546875" style="6" customWidth="1"/>
    <col min="7" max="7" width="18" style="6" customWidth="1"/>
    <col min="8" max="8" width="9.140625" style="6"/>
    <col min="9" max="9" width="18.5703125" style="6" customWidth="1"/>
    <col min="10" max="10" width="9.140625" style="6"/>
    <col min="11" max="11" width="15.28515625" style="6" customWidth="1"/>
    <col min="12" max="16384" width="9.140625" style="6"/>
  </cols>
  <sheetData>
    <row r="2" spans="1:11" ht="18.75" x14ac:dyDescent="0.3">
      <c r="A2" s="23" t="s">
        <v>38</v>
      </c>
    </row>
    <row r="3" spans="1:11" ht="15.75" thickBot="1" x14ac:dyDescent="0.3"/>
    <row r="4" spans="1:11" ht="19.5" thickBot="1" x14ac:dyDescent="0.35">
      <c r="C4" s="5" t="s">
        <v>14</v>
      </c>
      <c r="E4" s="7">
        <f>'New trips &amp; VMT reduction'!C12</f>
        <v>22333.885774080216</v>
      </c>
      <c r="F4" s="5" t="s">
        <v>15</v>
      </c>
    </row>
    <row r="5" spans="1:11" ht="15.75" thickBot="1" x14ac:dyDescent="0.3">
      <c r="C5" s="5" t="s">
        <v>16</v>
      </c>
      <c r="E5" s="8">
        <f>E4/32.3</f>
        <v>691.45157195294792</v>
      </c>
      <c r="F5" s="5" t="s">
        <v>15</v>
      </c>
    </row>
    <row r="6" spans="1:11" ht="45" x14ac:dyDescent="0.25">
      <c r="D6" s="9" t="s">
        <v>17</v>
      </c>
      <c r="E6" s="9" t="s">
        <v>43</v>
      </c>
      <c r="F6" s="9" t="s">
        <v>18</v>
      </c>
      <c r="G6" s="10" t="s">
        <v>19</v>
      </c>
    </row>
    <row r="7" spans="1:11" ht="30" x14ac:dyDescent="0.25">
      <c r="C7" s="11" t="s">
        <v>20</v>
      </c>
      <c r="D7" s="6">
        <v>16.77</v>
      </c>
      <c r="E7" s="12">
        <f t="shared" ref="E7:E12" si="0">(D7*$E$4)/1000</f>
        <v>374.53926443132519</v>
      </c>
      <c r="F7" s="6">
        <v>0.08</v>
      </c>
      <c r="G7" s="13">
        <f>E7*F7</f>
        <v>29.963141154506015</v>
      </c>
    </row>
    <row r="8" spans="1:11" ht="30" x14ac:dyDescent="0.25">
      <c r="C8" s="11" t="s">
        <v>21</v>
      </c>
      <c r="D8" s="6">
        <v>0.91</v>
      </c>
      <c r="E8" s="12">
        <f t="shared" si="0"/>
        <v>20.323836054412997</v>
      </c>
      <c r="F8" s="6">
        <v>12.96</v>
      </c>
      <c r="G8" s="13">
        <f t="shared" ref="G8:G12" si="1">E8*F8</f>
        <v>263.39691526519243</v>
      </c>
    </row>
    <row r="9" spans="1:11" ht="30" x14ac:dyDescent="0.25">
      <c r="C9" s="11" t="s">
        <v>22</v>
      </c>
      <c r="D9" s="6">
        <v>0.6</v>
      </c>
      <c r="E9" s="12">
        <f t="shared" si="0"/>
        <v>13.400331464448129</v>
      </c>
      <c r="F9" s="6">
        <v>3.02</v>
      </c>
      <c r="G9" s="13">
        <f t="shared" si="1"/>
        <v>40.46900102263335</v>
      </c>
    </row>
    <row r="10" spans="1:11" ht="30" x14ac:dyDescent="0.25">
      <c r="C10" s="11" t="s">
        <v>23</v>
      </c>
      <c r="D10" s="6">
        <v>0.01</v>
      </c>
      <c r="E10" s="12">
        <f t="shared" si="0"/>
        <v>0.22333885774080214</v>
      </c>
      <c r="F10" s="6">
        <v>680.4</v>
      </c>
      <c r="G10" s="13">
        <f t="shared" si="1"/>
        <v>151.95975880684176</v>
      </c>
    </row>
    <row r="11" spans="1:11" ht="30" x14ac:dyDescent="0.25">
      <c r="B11" s="6" t="s">
        <v>24</v>
      </c>
      <c r="C11" s="11" t="s">
        <v>10</v>
      </c>
      <c r="D11" s="6">
        <v>427</v>
      </c>
      <c r="E11" s="12">
        <f t="shared" si="0"/>
        <v>9536.5692255322519</v>
      </c>
      <c r="F11" s="6">
        <v>0.1</v>
      </c>
      <c r="G11" s="13">
        <f t="shared" si="1"/>
        <v>953.65692255322529</v>
      </c>
    </row>
    <row r="12" spans="1:11" ht="30" x14ac:dyDescent="0.25">
      <c r="B12" s="6" t="s">
        <v>25</v>
      </c>
      <c r="C12" s="11" t="s">
        <v>11</v>
      </c>
      <c r="D12" s="6">
        <v>4.2075000000000003E-3</v>
      </c>
      <c r="E12" s="12">
        <f t="shared" si="0"/>
        <v>9.3969824394442514E-2</v>
      </c>
      <c r="F12" s="6">
        <v>1.1000000000000001</v>
      </c>
      <c r="G12" s="13">
        <f t="shared" si="1"/>
        <v>0.10336680683388677</v>
      </c>
    </row>
    <row r="13" spans="1:11" x14ac:dyDescent="0.25">
      <c r="C13" s="11"/>
      <c r="E13" s="13"/>
      <c r="G13" s="13"/>
    </row>
    <row r="14" spans="1:11" x14ac:dyDescent="0.25">
      <c r="G14" s="14">
        <f>SUM(G7:G12)</f>
        <v>1439.5491056092328</v>
      </c>
      <c r="H14" s="5" t="s">
        <v>15</v>
      </c>
      <c r="I14" s="15"/>
    </row>
    <row r="15" spans="1:11" x14ac:dyDescent="0.25">
      <c r="C15" s="5" t="s">
        <v>12</v>
      </c>
    </row>
    <row r="16" spans="1:11" x14ac:dyDescent="0.25">
      <c r="K16" s="16"/>
    </row>
    <row r="17" spans="2:7" x14ac:dyDescent="0.25">
      <c r="C17" s="6" t="s">
        <v>26</v>
      </c>
      <c r="D17" s="6">
        <v>1.2999999999999999E-2</v>
      </c>
      <c r="E17" s="6" t="s">
        <v>27</v>
      </c>
    </row>
    <row r="18" spans="2:7" x14ac:dyDescent="0.25">
      <c r="C18" s="6" t="s">
        <v>28</v>
      </c>
      <c r="D18" s="6">
        <v>0.19500000000000001</v>
      </c>
      <c r="E18" s="6" t="s">
        <v>27</v>
      </c>
    </row>
    <row r="20" spans="2:7" x14ac:dyDescent="0.25">
      <c r="D20" s="17" t="s">
        <v>29</v>
      </c>
      <c r="E20" s="18">
        <v>6200000</v>
      </c>
      <c r="F20" s="6" t="s">
        <v>30</v>
      </c>
    </row>
    <row r="21" spans="2:7" x14ac:dyDescent="0.25">
      <c r="D21" s="17" t="s">
        <v>31</v>
      </c>
      <c r="E21" s="18">
        <v>323300</v>
      </c>
      <c r="F21" s="6" t="s">
        <v>32</v>
      </c>
    </row>
    <row r="22" spans="2:7" ht="15.75" thickBot="1" x14ac:dyDescent="0.3"/>
    <row r="23" spans="2:7" ht="30.75" thickBot="1" x14ac:dyDescent="0.3">
      <c r="C23" s="19"/>
      <c r="D23" s="20" t="s">
        <v>33</v>
      </c>
      <c r="E23" s="14">
        <f>(((0.013*6200000)/1000000)+((0.195*323300/1000000)))*$E$4</f>
        <v>3208.1175211890918</v>
      </c>
      <c r="F23" s="6" t="s">
        <v>15</v>
      </c>
      <c r="G23" s="21"/>
    </row>
    <row r="26" spans="2:7" x14ac:dyDescent="0.25">
      <c r="B26" s="6" t="s">
        <v>34</v>
      </c>
      <c r="C26" s="22" t="s">
        <v>35</v>
      </c>
    </row>
    <row r="27" spans="2:7" x14ac:dyDescent="0.25">
      <c r="B27" s="6" t="s">
        <v>36</v>
      </c>
      <c r="C27" s="16" t="s">
        <v>37</v>
      </c>
    </row>
  </sheetData>
  <hyperlinks>
    <hyperlink ref="C26" r:id="rId1" display="https://www.google.com/url?url=https://www1.eere.energy.gov/buildings/appliance_standards/commercial/pdfs/dt_prelim_tsdch16.pdf&amp;rct=j&amp;frm=1&amp;q=&amp;esrc=s&amp;sa=U&amp;ei=drVKVIaCFcr88AHP8ICwCA&amp;ved=0CCwQFjAF&amp;usg=AFQjCNHTY5cTRrerDy1ugpNKlj57QpmWEw" xr:uid="{00000000-0004-0000-04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E32"/>
  <sheetViews>
    <sheetView zoomScale="80" zoomScaleNormal="80" workbookViewId="0">
      <selection activeCell="D23" sqref="D23"/>
    </sheetView>
  </sheetViews>
  <sheetFormatPr defaultRowHeight="15" x14ac:dyDescent="0.25"/>
  <cols>
    <col min="1" max="2" width="9.140625" style="55"/>
    <col min="3" max="3" width="74.5703125" style="55" customWidth="1"/>
    <col min="4" max="4" width="22.28515625" style="55" customWidth="1"/>
    <col min="5" max="5" width="10" style="55" customWidth="1"/>
    <col min="6" max="16384" width="9.140625" style="55"/>
  </cols>
  <sheetData>
    <row r="2" spans="2:5" x14ac:dyDescent="0.25">
      <c r="C2" s="5" t="s">
        <v>47</v>
      </c>
    </row>
    <row r="3" spans="2:5" ht="15.75" thickBot="1" x14ac:dyDescent="0.3"/>
    <row r="4" spans="2:5" x14ac:dyDescent="0.25">
      <c r="B4" s="57"/>
      <c r="C4" s="58" t="s">
        <v>48</v>
      </c>
      <c r="D4" s="59">
        <v>186500</v>
      </c>
      <c r="E4" s="60"/>
    </row>
    <row r="5" spans="2:5" ht="33.75" customHeight="1" x14ac:dyDescent="0.25">
      <c r="B5" s="61"/>
      <c r="C5" s="62" t="s">
        <v>74</v>
      </c>
      <c r="D5" s="56">
        <f>1.051*D4</f>
        <v>196011.5</v>
      </c>
      <c r="E5" s="63"/>
    </row>
    <row r="6" spans="2:5" ht="5.0999999999999996" customHeight="1" x14ac:dyDescent="0.25">
      <c r="B6" s="61"/>
      <c r="E6" s="63"/>
    </row>
    <row r="7" spans="2:5" ht="18.75" x14ac:dyDescent="0.3">
      <c r="B7" s="61"/>
      <c r="C7" s="55" t="s">
        <v>49</v>
      </c>
      <c r="D7" s="64">
        <v>34</v>
      </c>
      <c r="E7" s="63"/>
    </row>
    <row r="8" spans="2:5" ht="18.75" x14ac:dyDescent="0.3">
      <c r="B8" s="61"/>
      <c r="C8" s="55" t="s">
        <v>50</v>
      </c>
      <c r="D8" s="64">
        <v>11</v>
      </c>
      <c r="E8" s="63"/>
    </row>
    <row r="9" spans="2:5" ht="18.75" x14ac:dyDescent="0.3">
      <c r="B9" s="61"/>
      <c r="C9" s="55" t="s">
        <v>51</v>
      </c>
      <c r="D9" s="64">
        <v>2.5</v>
      </c>
      <c r="E9" s="65">
        <v>0.25</v>
      </c>
    </row>
    <row r="10" spans="2:5" ht="5.0999999999999996" customHeight="1" x14ac:dyDescent="0.25">
      <c r="B10" s="61"/>
      <c r="E10" s="63"/>
    </row>
    <row r="11" spans="2:5" ht="29.25" customHeight="1" x14ac:dyDescent="0.25">
      <c r="B11" s="61"/>
      <c r="C11" s="62" t="s">
        <v>52</v>
      </c>
      <c r="D11" s="55">
        <f>D7+(2.5*D8)</f>
        <v>61.5</v>
      </c>
      <c r="E11" s="63"/>
    </row>
    <row r="12" spans="2:5" ht="5.0999999999999996" customHeight="1" x14ac:dyDescent="0.25">
      <c r="B12" s="61"/>
      <c r="E12" s="63"/>
    </row>
    <row r="13" spans="2:5" ht="36.75" customHeight="1" x14ac:dyDescent="0.25">
      <c r="B13" s="61"/>
      <c r="C13" s="62" t="s">
        <v>53</v>
      </c>
      <c r="D13" s="55">
        <f>D7+((D8-D9)*2.5)</f>
        <v>55.25</v>
      </c>
      <c r="E13" s="63"/>
    </row>
    <row r="14" spans="2:5" ht="5.0999999999999996" customHeight="1" x14ac:dyDescent="0.25">
      <c r="B14" s="61"/>
      <c r="E14" s="63"/>
    </row>
    <row r="15" spans="2:5" x14ac:dyDescent="0.25">
      <c r="B15" s="61"/>
      <c r="C15" s="55" t="s">
        <v>54</v>
      </c>
      <c r="D15" s="66">
        <f>((D11-D13)/D11)*100</f>
        <v>10.16260162601626</v>
      </c>
      <c r="E15" s="63"/>
    </row>
    <row r="16" spans="2:5" ht="5.0999999999999996" customHeight="1" x14ac:dyDescent="0.25">
      <c r="B16" s="61"/>
      <c r="E16" s="63"/>
    </row>
    <row r="17" spans="2:5" x14ac:dyDescent="0.25">
      <c r="B17" s="61"/>
      <c r="C17" s="55" t="s">
        <v>55</v>
      </c>
      <c r="D17" s="55">
        <v>-0.35</v>
      </c>
      <c r="E17" s="63"/>
    </row>
    <row r="18" spans="2:5" ht="5.0999999999999996" customHeight="1" x14ac:dyDescent="0.25">
      <c r="B18" s="61"/>
      <c r="E18" s="63"/>
    </row>
    <row r="19" spans="2:5" x14ac:dyDescent="0.25">
      <c r="B19" s="61"/>
      <c r="C19" s="55" t="s">
        <v>92</v>
      </c>
      <c r="D19" s="56">
        <f>(((-D17*D15)/100))*D5</f>
        <v>6971.9537601626016</v>
      </c>
      <c r="E19" s="63"/>
    </row>
    <row r="20" spans="2:5" ht="5.0999999999999996" customHeight="1" x14ac:dyDescent="0.25">
      <c r="B20" s="61"/>
      <c r="E20" s="63"/>
    </row>
    <row r="21" spans="2:5" x14ac:dyDescent="0.25">
      <c r="B21" s="61"/>
      <c r="C21" s="67" t="s">
        <v>78</v>
      </c>
      <c r="D21" s="68">
        <f>D5+D19</f>
        <v>202983.45376016261</v>
      </c>
      <c r="E21" s="63"/>
    </row>
    <row r="22" spans="2:5" ht="5.0999999999999996" customHeight="1" x14ac:dyDescent="0.25">
      <c r="B22" s="61"/>
      <c r="E22" s="63"/>
    </row>
    <row r="23" spans="2:5" ht="32.25" customHeight="1" x14ac:dyDescent="0.25">
      <c r="B23" s="61"/>
      <c r="C23" s="62" t="s">
        <v>56</v>
      </c>
      <c r="D23" s="56">
        <f>D19/2</f>
        <v>3485.9768800813008</v>
      </c>
      <c r="E23" s="63"/>
    </row>
    <row r="24" spans="2:5" ht="5.0999999999999996" customHeight="1" x14ac:dyDescent="0.25">
      <c r="B24" s="61"/>
      <c r="D24" s="56"/>
      <c r="E24" s="63"/>
    </row>
    <row r="25" spans="2:5" x14ac:dyDescent="0.25">
      <c r="B25" s="61"/>
      <c r="C25" s="55" t="s">
        <v>57</v>
      </c>
      <c r="D25" s="56">
        <f>D23</f>
        <v>3485.9768800813008</v>
      </c>
      <c r="E25" s="63"/>
    </row>
    <row r="26" spans="2:5" ht="5.0999999999999996" customHeight="1" x14ac:dyDescent="0.25">
      <c r="B26" s="61"/>
      <c r="D26" s="56"/>
      <c r="E26" s="63"/>
    </row>
    <row r="27" spans="2:5" x14ac:dyDescent="0.25">
      <c r="B27" s="61"/>
      <c r="C27" s="67" t="s">
        <v>45</v>
      </c>
      <c r="D27" s="68">
        <f>D25/1.18</f>
        <v>2954.2176949841532</v>
      </c>
      <c r="E27" s="63"/>
    </row>
    <row r="28" spans="2:5" ht="5.0999999999999996" customHeight="1" x14ac:dyDescent="0.25">
      <c r="B28" s="61"/>
      <c r="E28" s="63"/>
    </row>
    <row r="29" spans="2:5" ht="18.75" x14ac:dyDescent="0.3">
      <c r="B29" s="61"/>
      <c r="C29" s="55" t="s">
        <v>58</v>
      </c>
      <c r="D29" s="64">
        <v>7.56</v>
      </c>
      <c r="E29" s="63"/>
    </row>
    <row r="30" spans="2:5" ht="5.0999999999999996" customHeight="1" x14ac:dyDescent="0.25">
      <c r="B30" s="61"/>
      <c r="E30" s="63"/>
    </row>
    <row r="31" spans="2:5" x14ac:dyDescent="0.25">
      <c r="B31" s="61"/>
      <c r="C31" s="67" t="s">
        <v>59</v>
      </c>
      <c r="D31" s="68">
        <f>D29*D27</f>
        <v>22333.885774080198</v>
      </c>
      <c r="E31" s="63"/>
    </row>
    <row r="32" spans="2:5" ht="15.75" thickBot="1" x14ac:dyDescent="0.3">
      <c r="B32" s="69"/>
      <c r="C32" s="70"/>
      <c r="D32" s="70"/>
      <c r="E32" s="7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Methodology</vt:lpstr>
      <vt:lpstr>Summary</vt:lpstr>
      <vt:lpstr>TT savings</vt:lpstr>
      <vt:lpstr>New trips &amp; VMT reduction</vt:lpstr>
      <vt:lpstr>AQ reduction &amp; Safety Imprvmnt</vt:lpstr>
      <vt:lpstr>Rdrshp-Auto diversion&amp;VMT</vt:lpstr>
      <vt:lpstr>Summary!Print_Area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Mahal, Vijay</dc:creator>
  <cp:lastModifiedBy>Angela Martinez</cp:lastModifiedBy>
  <cp:lastPrinted>2018-10-29T22:04:45Z</cp:lastPrinted>
  <dcterms:created xsi:type="dcterms:W3CDTF">2018-08-15T19:54:30Z</dcterms:created>
  <dcterms:modified xsi:type="dcterms:W3CDTF">2018-10-29T22:05:39Z</dcterms:modified>
</cp:coreProperties>
</file>