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GalvestonCLtoIH45\"/>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<sst xmlns="http://schemas.openxmlformats.org/spreadsheetml/2006/main" count="262" uniqueCount="130">
  <si>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</si>
  <si>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</si>
  <si>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</si>
  <si>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</si>
  <si>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</si>
  <si>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</si>
  <si>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</si>
  <si>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</si>
  <si>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</si>
  <si>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</si>
  <si>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</si>
  <si>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</si>
  <si>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</si>
  <si>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</si>
  <si>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</si>
  <si>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</si>
  <si>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</si>
  <si>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</si>
  <si>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</si>
  <si>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</si>
  <si>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</si>
  <si>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</si>
  <si>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</si>
  <si>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</si>
  <si>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</si>
  <si>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</si>
  <si>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</si>
  <si>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</si>
  <si>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</si>
  <si>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</si>
  <si>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</si>
  <si>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</si>
  <si>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</si>
  <si>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</si>
  <si>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</si>
  <si>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</si>
  <si>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</si>
  <si>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</si>
  <si>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</si>
  <si>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</si>
  <si>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</si>
  <si>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</si>
  <si>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</si>
  <si>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</si>
  <si>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</si>
  <si>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</si>
  <si>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</si>
  <si>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</si>
  <si>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</si>
  <si>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</si>
  <si>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</si>
  <si>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</si>
  <si>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</si>
  <si>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</si>
  <si>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</si>
  <si>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</si>
  <si>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</si>
  <si>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</si>
  <si>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</si>
  <si>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</si>
  <si>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</si>
  <si>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</si>
  <si>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</si>
  <si>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</si>
  <si>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</si>
  <si>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</si>
  <si>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</si>
  <si>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</si>
  <si>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</si>
  <si>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</si>
  <si>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</si>
  <si>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</si>
  <si>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</si>
  <si>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</si>
  <si>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</si>
  <si>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</si>
  <si>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</si>
  <si>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</si>
  <si>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</si>
  <si>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</si>
  <si>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</si>
  <si>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</si>
  <si>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</si>
  <si>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</si>
  <si>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</si>
  <si>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</si>
  <si>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</si>
  <si>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</si>
  <si>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</si>
  <si>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</si>
  <si>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</si>
  <si>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</si>
  <si>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</si>
  <si>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</si>
  <si>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</si>
  <si>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</si>
  <si>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</si>
  <si>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</si>
  <si>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</si>
  <si>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</si>
  <si>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</si>
  <si>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</si>
  <si>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</si>
  <si>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</si>
  <si>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</si>
  <si>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</si>
  <si>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</si>
  <si>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</si>
  <si>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</si>
  <si>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</si>
  <si>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</si>
  <si>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</si>
  <si>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</si>
  <si>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</si>
  <si>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</si>
  <si>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</si>
  <si>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</si>
  <si>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</si>
  <si>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</si>
  <si>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</si>
  <si>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</si>
  <si>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</si>
  <si>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</si>
  <si>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</si>
  <si>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</si>
  <si>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</si>
  <si>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</si>
  <si>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</si>
  <si>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</si>
  <si>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Installation of Arterial ITS and Traffic Signal Integration SH 6 Galveston County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</si>
</sst>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0" zoomScaleNormal="100" workbookViewId="0">
      <selection activeCell="H24" sqref="H24"/>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287</v>
      </c>
      <c r="D7" s="98"/>
      <c r="E7" s="99" t="s">
        <v>127</v>
      </c>
    </row>
    <row r="8" spans="1:5" x14ac:dyDescent="0.25">
      <c r="A8" s="6" t="s">
        <v>52</v>
      </c>
      <c r="B8" s="6"/>
      <c r="D8" s="103"/>
      <c r="E8" s="99" t="s">
        <v>92</v>
      </c>
    </row>
    <row r="9" spans="1:5" x14ac:dyDescent="0.25">
      <c r="A9" s="6" t="s">
        <v>64</v>
      </c>
      <c r="B9" s="104" t="s">
        <v>70</v>
      </c>
      <c r="D9" s="105"/>
      <c r="E9" s="99" t="s">
        <v>93</v>
      </c>
    </row>
    <row r="11" spans="1:5" x14ac:dyDescent="0.25">
      <c r="A11" s="63"/>
      <c r="B11" s="63"/>
    </row>
    <row r="12" spans="1:5" x14ac:dyDescent="0.25">
      <c r="A12" s="102" t="s">
        <v>85</v>
      </c>
      <c r="B12" s="63"/>
    </row>
    <row r="13" spans="1:5" x14ac:dyDescent="0.25">
      <c r="A13" s="6" t="s">
        <v>56</v>
      </c>
      <c r="B13" s="45">
        <v>2027</v>
      </c>
    </row>
    <row r="14" spans="1:5" x14ac:dyDescent="0.25">
      <c r="A14" s="6" t="s">
        <v>86</v>
      </c>
      <c r="B14" s="6" t="s">
        <v>123</v>
      </c>
    </row>
    <row r="15" spans="1:5" x14ac:dyDescent="0.25">
      <c r="A15" s="106" t="s">
        <v>87</v>
      </c>
      <c r="B15" s="57" t="s">
        <v>76</v>
      </c>
    </row>
    <row r="16" spans="1:5" x14ac:dyDescent="0.25">
      <c r="A16" s="106" t="s">
        <v>88</v>
      </c>
      <c r="B16" s="57">
        <v>16.5</v>
      </c>
    </row>
    <row r="17" spans="1:3" x14ac:dyDescent="0.25">
      <c r="A17" s="107" t="s">
        <v>95</v>
      </c>
      <c r="B17" s="57">
        <v>40</v>
      </c>
    </row>
    <row r="18" spans="1:3" x14ac:dyDescent="0.25">
      <c r="A18" s="107" t="s">
        <v>96</v>
      </c>
      <c r="B18" s="57">
        <v>46</v>
      </c>
    </row>
    <row r="19" spans="1:3" x14ac:dyDescent="0.25">
      <c r="A19" s="96" t="s">
        <v>97</v>
      </c>
      <c r="B19" s="97">
        <f>VLOOKUP(B14,'Service Life'!C6:D8,2,FALSE)</f>
        <v>12</v>
      </c>
    </row>
    <row r="21" spans="1:3" x14ac:dyDescent="0.25">
      <c r="A21" s="102" t="s">
        <v>89</v>
      </c>
    </row>
    <row r="22" spans="1:3" ht="20.25" customHeight="1" x14ac:dyDescent="0.25">
      <c r="A22" s="107" t="s">
        <v>90</v>
      </c>
      <c r="B22" s="119">
        <v>13641</v>
      </c>
    </row>
    <row r="23" spans="1:3" ht="30" x14ac:dyDescent="0.25">
      <c r="A23" s="118" t="s">
        <v>101</v>
      </c>
      <c r="B23" s="120">
        <v>14959</v>
      </c>
    </row>
    <row r="24" spans="1:3" ht="30" x14ac:dyDescent="0.25">
      <c r="A24" s="118" t="s">
        <v>102</v>
      </c>
      <c r="B24" s="120">
        <v>25719</v>
      </c>
    </row>
    <row r="27" spans="1:3" ht="18.75" x14ac:dyDescent="0.3">
      <c r="A27" s="100" t="s">
        <v>55</v>
      </c>
      <c r="B27" s="101"/>
    </row>
    <row r="29" spans="1:3" x14ac:dyDescent="0.25">
      <c r="A29" s="108" t="s">
        <v>53</v>
      </c>
    </row>
    <row r="30" spans="1:3" x14ac:dyDescent="0.25">
      <c r="A30" s="105" t="s">
        <v>112</v>
      </c>
      <c r="B30" s="114">
        <f>'Benefit Calculations'!M37</f>
        <v>-631.16068140066034</v>
      </c>
    </row>
    <row r="31" spans="1:3" x14ac:dyDescent="0.25">
      <c r="A31" s="105" t="s">
        <v>113</v>
      </c>
      <c r="B31" s="114">
        <f>'Benefit Calculations'!Q37</f>
        <v>451.53162910327211</v>
      </c>
      <c r="C31" s="109"/>
    </row>
    <row r="32" spans="1:3" x14ac:dyDescent="0.25">
      <c r="A32" s="110"/>
      <c r="B32" s="111"/>
      <c r="C32" s="109"/>
    </row>
    <row r="33" spans="1:9" x14ac:dyDescent="0.25">
      <c r="A33" s="108" t="s">
        <v>94</v>
      </c>
      <c r="B33" s="111"/>
      <c r="C33" s="109"/>
    </row>
    <row r="34" spans="1:9" x14ac:dyDescent="0.25">
      <c r="A34" s="105" t="s">
        <v>114</v>
      </c>
      <c r="B34" s="114">
        <f>$B$30+$B$31</f>
        <v>-179.62905229738823</v>
      </c>
      <c r="C34" s="109"/>
    </row>
    <row r="35" spans="1:9" x14ac:dyDescent="0.25">
      <c r="I35" s="112"/>
    </row>
    <row r="36" spans="1:9" x14ac:dyDescent="0.25">
      <c r="A36" s="108" t="s">
        <v>107</v>
      </c>
    </row>
    <row r="37" spans="1:9" x14ac:dyDescent="0.25">
      <c r="A37" s="105" t="s">
        <v>116</v>
      </c>
      <c r="B37" s="115">
        <f>'Benefit Calculations'!K37</f>
        <v>-0.22204364041930508</v>
      </c>
    </row>
    <row r="38" spans="1:9" x14ac:dyDescent="0.25">
      <c r="A38" s="105" t="s">
        <v>117</v>
      </c>
      <c r="B38" s="115">
        <f>'Benefit Calculations'!O37</f>
        <v>0.62605986604359976</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6.13996982574E-2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1.2469800189099999E-2</v>
      </c>
      <c r="F4" s="70">
        <v>2018</v>
      </c>
      <c r="G4" s="80">
        <f>'Inputs &amp; Outputs'!B22</f>
        <v>13641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6.1621401458999997E-2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1.1844700202299999E-2</v>
      </c>
      <c r="F5" s="70">
        <f t="shared" ref="F5:F36" si="2">F4+1</f>
        <v>2019</v>
      </c>
      <c r="G5" s="80">
        <f>G4+G4*H5</f>
        <v>13821.925414268029</v>
      </c>
      <c r="H5" s="79">
        <f>$C$9</f>
        <v>1.3263354172570185E-2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14005.250506384315</v>
      </c>
      <c r="H6" s="79">
        <f t="shared" ref="H6:H11" si="7">$C$9</f>
        <v>1.3263354172570185E-2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14191.007104126058</v>
      </c>
      <c r="H7" s="79">
        <f t="shared" si="7"/>
        <v>1.3263354172570185E-2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14379.227457413541</v>
      </c>
      <c r="H8" s="79">
        <f t="shared" si="7"/>
        <v>1.3263354172570185E-2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1.3263354172570185E-2</v>
      </c>
      <c r="F9" s="70">
        <f t="shared" si="2"/>
        <v>2023</v>
      </c>
      <c r="G9" s="80">
        <f t="shared" si="6"/>
        <v>14569.944243909162</v>
      </c>
      <c r="H9" s="79">
        <f t="shared" si="7"/>
        <v>1.3263354172570185E-2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2.1913321659915663E-2</v>
      </c>
      <c r="F10" s="70">
        <f t="shared" si="2"/>
        <v>2024</v>
      </c>
      <c r="G10" s="80">
        <f t="shared" si="6"/>
        <v>14763.190574690729</v>
      </c>
      <c r="H10" s="79">
        <f t="shared" si="7"/>
        <v>1.3263354172570185E-2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2.376503171235278E-2</v>
      </c>
      <c r="F11" s="70">
        <f t="shared" si="2"/>
        <v>2025</v>
      </c>
      <c r="G11" s="80">
        <f>'Inputs &amp; Outputs'!$B$23</f>
        <v>14959</v>
      </c>
      <c r="H11" s="79">
        <f t="shared" si="7"/>
        <v>1.3263354172570185E-2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15286.801378710679</v>
      </c>
      <c r="H12" s="79">
        <f>$C$10</f>
        <v>2.1913321659915663E-2</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15621.785974473609</v>
      </c>
      <c r="H13" s="79">
        <f t="shared" ref="H13:H36" si="8">$C$10</f>
        <v>2.1913321659915663E-2</v>
      </c>
      <c r="I13" s="70">
        <f>IF(AND(F13&gt;='Inputs &amp; Outputs'!B$13,F13&lt;'Inputs &amp; Outputs'!B$13+'Inputs &amp; Outputs'!B$19),1,0)</f>
        <v>1</v>
      </c>
      <c r="J13" s="71">
        <f>I13*'Inputs &amp; Outputs'!B$16*'Benefit Calculations'!G13*('Benefit Calculations'!C$4-'Benefit Calculations'!C$5)</f>
        <v>-57.146099426637093</v>
      </c>
      <c r="K13" s="89">
        <f t="shared" si="3"/>
        <v>-1.6378139220847857E-2</v>
      </c>
      <c r="L13" s="72">
        <f>K13*'Assumed Values'!$C$8</f>
        <v>-122.96706927012571</v>
      </c>
      <c r="M13" s="73">
        <f t="shared" si="0"/>
        <v>-66.885938202703656</v>
      </c>
      <c r="N13" s="88">
        <f>I13*'Inputs &amp; Outputs'!B$16*'Benefit Calculations'!G13*('Benefit Calculations'!D$4-'Benefit Calculations'!D$5)</f>
        <v>161.12544040619196</v>
      </c>
      <c r="O13" s="89">
        <f t="shared" si="4"/>
        <v>4.6178740482206375E-2</v>
      </c>
      <c r="P13" s="72">
        <f>ABS(O13*'Assumed Values'!$C$7)</f>
        <v>87.97050061860314</v>
      </c>
      <c r="Q13" s="73">
        <f t="shared" si="1"/>
        <v>47.850123638477911</v>
      </c>
      <c r="T13" s="85">
        <f t="shared" si="5"/>
        <v>-1.4857985850925645E-2</v>
      </c>
      <c r="U13" s="86">
        <f>T13*'Assumed Values'!$D$8</f>
        <v>0</v>
      </c>
    </row>
    <row r="14" spans="2:21" x14ac:dyDescent="0.25">
      <c r="B14" s="27"/>
      <c r="C14" s="68"/>
      <c r="F14" s="70">
        <f t="shared" si="2"/>
        <v>2028</v>
      </c>
      <c r="G14" s="80">
        <f t="shared" si="6"/>
        <v>15964.111195434609</v>
      </c>
      <c r="H14" s="79">
        <f t="shared" si="8"/>
        <v>2.1913321659915663E-2</v>
      </c>
      <c r="I14" s="70">
        <f>IF(AND(F14&gt;='Inputs &amp; Outputs'!B$13,F14&lt;'Inputs &amp; Outputs'!B$13+'Inputs &amp; Outputs'!B$19),1,0)</f>
        <v>1</v>
      </c>
      <c r="J14" s="71">
        <f>I14*'Inputs &amp; Outputs'!B$16*'Benefit Calculations'!G14*('Benefit Calculations'!C$4-'Benefit Calculations'!C$5)</f>
        <v>-58.398360284982509</v>
      </c>
      <c r="K14" s="89">
        <f t="shared" si="3"/>
        <v>-1.6737038653785178E-2</v>
      </c>
      <c r="L14" s="72">
        <f>K14*'Assumed Values'!$C$8</f>
        <v>-125.66168621261912</v>
      </c>
      <c r="M14" s="73">
        <f t="shared" si="0"/>
        <v>-63.880029234639956</v>
      </c>
      <c r="N14" s="88">
        <f>I14*'Inputs &amp; Outputs'!B$16*'Benefit Calculations'!G14*('Benefit Calculations'!D$4-'Benefit Calculations'!D$5)</f>
        <v>164.65623400940839</v>
      </c>
      <c r="O14" s="89">
        <f t="shared" si="4"/>
        <v>4.7190670076242724E-2</v>
      </c>
      <c r="P14" s="72">
        <f>ABS(O14*'Assumed Values'!$C$7)</f>
        <v>89.898226495242383</v>
      </c>
      <c r="Q14" s="73">
        <f t="shared" si="1"/>
        <v>45.699699803022995</v>
      </c>
      <c r="T14" s="85">
        <f t="shared" si="5"/>
        <v>-1.5183573674095452E-2</v>
      </c>
      <c r="U14" s="86">
        <f>T14*'Assumed Values'!$D$8</f>
        <v>0</v>
      </c>
    </row>
    <row r="15" spans="2:21" x14ac:dyDescent="0.25">
      <c r="B15" s="27"/>
      <c r="C15" s="69"/>
      <c r="F15" s="70">
        <f t="shared" si="2"/>
        <v>2029</v>
      </c>
      <c r="G15" s="80">
        <f t="shared" si="6"/>
        <v>16313.937899074828</v>
      </c>
      <c r="H15" s="79">
        <f t="shared" si="8"/>
        <v>2.1913321659915663E-2</v>
      </c>
      <c r="I15" s="70">
        <f>IF(AND(F15&gt;='Inputs &amp; Outputs'!B$13,F15&lt;'Inputs &amp; Outputs'!B$13+'Inputs &amp; Outputs'!B$19),1,0)</f>
        <v>1</v>
      </c>
      <c r="J15" s="71">
        <f>I15*'Inputs &amp; Outputs'!B$16*'Benefit Calculations'!G15*('Benefit Calculations'!C$4-'Benefit Calculations'!C$5)</f>
        <v>-59.678062338318973</v>
      </c>
      <c r="K15" s="89">
        <f t="shared" si="3"/>
        <v>-1.7103802765440015E-2</v>
      </c>
      <c r="L15" s="72">
        <f>K15*'Assumed Values'!$C$8</f>
        <v>-128.41535116292363</v>
      </c>
      <c r="M15" s="73">
        <f t="shared" si="0"/>
        <v>-61.009208283087318</v>
      </c>
      <c r="N15" s="88">
        <f>I15*'Inputs &amp; Outputs'!B$16*'Benefit Calculations'!G15*('Benefit Calculations'!D$4-'Benefit Calculations'!D$5)</f>
        <v>168.26439902856691</v>
      </c>
      <c r="O15" s="89">
        <f t="shared" si="4"/>
        <v>4.822477440897039E-2</v>
      </c>
      <c r="P15" s="72">
        <f>ABS(O15*'Assumed Values'!$C$7)</f>
        <v>91.8681952490886</v>
      </c>
      <c r="Q15" s="73">
        <f t="shared" si="1"/>
        <v>43.645917779970304</v>
      </c>
      <c r="T15" s="85">
        <f t="shared" si="5"/>
        <v>-1.5516296207962932E-2</v>
      </c>
      <c r="U15" s="86">
        <f>T15*'Assumed Values'!$D$8</f>
        <v>0</v>
      </c>
    </row>
    <row r="16" spans="2:21" x14ac:dyDescent="0.25">
      <c r="B16" s="27"/>
      <c r="C16" s="69"/>
      <c r="F16" s="70">
        <f t="shared" si="2"/>
        <v>2030</v>
      </c>
      <c r="G16" s="80">
        <f t="shared" si="6"/>
        <v>16671.430467797145</v>
      </c>
      <c r="H16" s="79">
        <f t="shared" si="8"/>
        <v>2.1913321659915663E-2</v>
      </c>
      <c r="I16" s="70">
        <f>IF(AND(F16&gt;='Inputs &amp; Outputs'!B$13,F16&lt;'Inputs &amp; Outputs'!B$13+'Inputs &amp; Outputs'!B$19),1,0)</f>
        <v>1</v>
      </c>
      <c r="J16" s="71">
        <f>I16*'Inputs &amp; Outputs'!B$16*'Benefit Calculations'!G16*('Benefit Calculations'!C$4-'Benefit Calculations'!C$5)</f>
        <v>-60.985806914379062</v>
      </c>
      <c r="K16" s="89">
        <f t="shared" si="3"/>
        <v>-1.7478603897046859E-2</v>
      </c>
      <c r="L16" s="72">
        <f>K16*'Assumed Values'!$C$8</f>
        <v>-131.22935805902782</v>
      </c>
      <c r="M16" s="73">
        <f t="shared" si="0"/>
        <v>-58.267404381692913</v>
      </c>
      <c r="N16" s="88">
        <f>I16*'Inputs &amp; Outputs'!B$16*'Benefit Calculations'!G16*('Benefit Calculations'!D$4-'Benefit Calculations'!D$5)</f>
        <v>171.95163092839232</v>
      </c>
      <c r="O16" s="89">
        <f t="shared" si="4"/>
        <v>4.9281539402571031E-2</v>
      </c>
      <c r="P16" s="72">
        <f>ABS(O16*'Assumed Values'!$C$7)</f>
        <v>93.881332561897821</v>
      </c>
      <c r="Q16" s="73">
        <f t="shared" si="1"/>
        <v>41.684434406939289</v>
      </c>
      <c r="T16" s="85">
        <f t="shared" si="5"/>
        <v>-1.5856309797738558E-2</v>
      </c>
      <c r="U16" s="86">
        <f>T16*'Assumed Values'!$D$8</f>
        <v>0</v>
      </c>
    </row>
    <row r="17" spans="2:21" x14ac:dyDescent="0.25">
      <c r="B17" s="27"/>
      <c r="C17" s="69"/>
      <c r="F17" s="70">
        <f t="shared" si="2"/>
        <v>2031</v>
      </c>
      <c r="G17" s="80">
        <f t="shared" si="6"/>
        <v>17036.756886168903</v>
      </c>
      <c r="H17" s="79">
        <f t="shared" si="8"/>
        <v>2.1913321659915663E-2</v>
      </c>
      <c r="I17" s="70">
        <f>IF(AND(F17&gt;='Inputs &amp; Outputs'!B$13,F17&lt;'Inputs &amp; Outputs'!B$13+'Inputs &amp; Outputs'!B$19),1,0)</f>
        <v>1</v>
      </c>
      <c r="J17" s="71">
        <f>I17*'Inputs &amp; Outputs'!B$16*'Benefit Calculations'!G17*('Benefit Calculations'!C$4-'Benefit Calculations'!C$5)</f>
        <v>-62.322208517983363</v>
      </c>
      <c r="K17" s="89">
        <f t="shared" si="3"/>
        <v>-1.7861618166409101E-2</v>
      </c>
      <c r="L17" s="72">
        <f>K17*'Assumed Values'!$C$8</f>
        <v>-134.10502919339953</v>
      </c>
      <c r="M17" s="73">
        <f t="shared" si="0"/>
        <v>-55.648819398315254</v>
      </c>
      <c r="N17" s="88">
        <f>I17*'Inputs &amp; Outputs'!B$16*'Benefit Calculations'!G17*('Benefit Calculations'!D$4-'Benefit Calculations'!D$5)</f>
        <v>175.71966232687328</v>
      </c>
      <c r="O17" s="89">
        <f t="shared" si="4"/>
        <v>5.0361461627395375E-2</v>
      </c>
      <c r="P17" s="72">
        <f>ABS(O17*'Assumed Values'!$C$7)</f>
        <v>95.938584400188191</v>
      </c>
      <c r="Q17" s="73">
        <f t="shared" si="1"/>
        <v>39.811101706831963</v>
      </c>
      <c r="T17" s="85">
        <f t="shared" si="5"/>
        <v>-1.6203774214675674E-2</v>
      </c>
      <c r="U17" s="86">
        <f>T17*'Assumed Values'!$D$8</f>
        <v>0</v>
      </c>
    </row>
    <row r="18" spans="2:21" x14ac:dyDescent="0.25">
      <c r="F18" s="70">
        <f t="shared" si="2"/>
        <v>2032</v>
      </c>
      <c r="G18" s="80">
        <f t="shared" si="6"/>
        <v>17410.088819857305</v>
      </c>
      <c r="H18" s="79">
        <f t="shared" si="8"/>
        <v>2.1913321659915663E-2</v>
      </c>
      <c r="I18" s="70">
        <f>IF(AND(F18&gt;='Inputs &amp; Outputs'!B$13,F18&lt;'Inputs &amp; Outputs'!B$13+'Inputs &amp; Outputs'!B$19),1,0)</f>
        <v>1</v>
      </c>
      <c r="J18" s="71">
        <f>I18*'Inputs &amp; Outputs'!B$16*'Benefit Calculations'!G18*('Benefit Calculations'!C$4-'Benefit Calculations'!C$5)</f>
        <v>-63.68789511979427</v>
      </c>
      <c r="K18" s="89">
        <f t="shared" si="3"/>
        <v>-1.8253025550656218E-2</v>
      </c>
      <c r="L18" s="72">
        <f>K18*'Assumed Values'!$C$8</f>
        <v>-137.04371583432689</v>
      </c>
      <c r="M18" s="73">
        <f t="shared" si="0"/>
        <v>-53.147915773630935</v>
      </c>
      <c r="N18" s="88">
        <f>I18*'Inputs &amp; Outputs'!B$16*'Benefit Calculations'!G18*('Benefit Calculations'!D$4-'Benefit Calculations'!D$5)</f>
        <v>179.57026380941383</v>
      </c>
      <c r="O18" s="89">
        <f t="shared" si="4"/>
        <v>5.1465048535299998E-2</v>
      </c>
      <c r="P18" s="72">
        <f>ABS(O18*'Assumed Values'!$C$7)</f>
        <v>98.040917459746495</v>
      </c>
      <c r="Q18" s="73">
        <f t="shared" si="1"/>
        <v>38.021958116046164</v>
      </c>
      <c r="T18" s="85">
        <f t="shared" si="5"/>
        <v>-1.655885273114651E-2</v>
      </c>
      <c r="U18" s="86">
        <f>T18*'Assumed Values'!$D$8</f>
        <v>0</v>
      </c>
    </row>
    <row r="19" spans="2:21" x14ac:dyDescent="0.25">
      <c r="F19" s="70">
        <f t="shared" si="2"/>
        <v>2033</v>
      </c>
      <c r="G19" s="80">
        <f t="shared" si="6"/>
        <v>17791.60169629454</v>
      </c>
      <c r="H19" s="79">
        <f t="shared" si="8"/>
        <v>2.1913321659915663E-2</v>
      </c>
      <c r="I19" s="70">
        <f>IF(AND(F19&gt;='Inputs &amp; Outputs'!B$13,F19&lt;'Inputs &amp; Outputs'!B$13+'Inputs &amp; Outputs'!B$19),1,0)</f>
        <v>1</v>
      </c>
      <c r="J19" s="71">
        <f>I19*'Inputs &amp; Outputs'!B$16*'Benefit Calculations'!G19*('Benefit Calculations'!C$4-'Benefit Calculations'!C$5)</f>
        <v>-65.083508451397293</v>
      </c>
      <c r="K19" s="89">
        <f t="shared" si="3"/>
        <v>-1.8653009970814403E-2</v>
      </c>
      <c r="L19" s="72">
        <f>K19*'Assumed Values'!$C$8</f>
        <v>-140.04679886087453</v>
      </c>
      <c r="M19" s="73">
        <f t="shared" si="0"/>
        <v>-50.759404810778122</v>
      </c>
      <c r="N19" s="88">
        <f>I19*'Inputs &amp; Outputs'!B$16*'Benefit Calculations'!G19*('Benefit Calculations'!D$4-'Benefit Calculations'!D$5)</f>
        <v>183.50524476082541</v>
      </c>
      <c r="O19" s="89">
        <f t="shared" si="4"/>
        <v>5.2592818698097198E-2</v>
      </c>
      <c r="P19" s="72">
        <f>ABS(O19*'Assumed Values'!$C$7)</f>
        <v>100.18931961987516</v>
      </c>
      <c r="Q19" s="73">
        <f t="shared" si="1"/>
        <v>36.313220106899927</v>
      </c>
      <c r="T19" s="85">
        <f t="shared" si="5"/>
        <v>-1.6921712197363298E-2</v>
      </c>
      <c r="U19" s="86">
        <f>T19*'Assumed Values'!$D$8</f>
        <v>0</v>
      </c>
    </row>
    <row r="20" spans="2:21" x14ac:dyDescent="0.25">
      <c r="F20" s="70">
        <f t="shared" si="2"/>
        <v>2034</v>
      </c>
      <c r="G20" s="80">
        <f t="shared" si="6"/>
        <v>18181.474787110543</v>
      </c>
      <c r="H20" s="79">
        <f t="shared" si="8"/>
        <v>2.1913321659915663E-2</v>
      </c>
      <c r="I20" s="70">
        <f>IF(AND(F20&gt;='Inputs &amp; Outputs'!B$13,F20&lt;'Inputs &amp; Outputs'!B$13+'Inputs &amp; Outputs'!B$19),1,0)</f>
        <v>1</v>
      </c>
      <c r="J20" s="71">
        <f>I20*'Inputs &amp; Outputs'!B$16*'Benefit Calculations'!G20*('Benefit Calculations'!C$4-'Benefit Calculations'!C$5)</f>
        <v>-66.509704306848604</v>
      </c>
      <c r="K20" s="89">
        <f t="shared" si="3"/>
        <v>-1.9061759378230476E-2</v>
      </c>
      <c r="L20" s="72">
        <f>K20*'Assumed Values'!$C$8</f>
        <v>-143.1156894117544</v>
      </c>
      <c r="M20" s="73">
        <f t="shared" si="0"/>
        <v>-48.478235491273445</v>
      </c>
      <c r="N20" s="88">
        <f>I20*'Inputs &amp; Outputs'!B$16*'Benefit Calculations'!G20*('Benefit Calculations'!D$4-'Benefit Calculations'!D$5)</f>
        <v>187.52645421555096</v>
      </c>
      <c r="O20" s="89">
        <f t="shared" si="4"/>
        <v>5.374530205123023E-2</v>
      </c>
      <c r="P20" s="72">
        <f>ABS(O20*'Assumed Values'!$C$7)</f>
        <v>102.38480040759359</v>
      </c>
      <c r="Q20" s="73">
        <f t="shared" si="1"/>
        <v>34.681274186551164</v>
      </c>
      <c r="T20" s="85">
        <f t="shared" si="5"/>
        <v>-1.7292523119780637E-2</v>
      </c>
      <c r="U20" s="86">
        <f>T20*'Assumed Values'!$D$8</f>
        <v>0</v>
      </c>
    </row>
    <row r="21" spans="2:21" x14ac:dyDescent="0.25">
      <c r="F21" s="70">
        <f t="shared" si="2"/>
        <v>2035</v>
      </c>
      <c r="G21" s="80">
        <f t="shared" si="6"/>
        <v>18579.891292372144</v>
      </c>
      <c r="H21" s="79">
        <f t="shared" si="8"/>
        <v>2.1913321659915663E-2</v>
      </c>
      <c r="I21" s="70">
        <f>IF(AND(F21&gt;='Inputs &amp; Outputs'!B$13,F21&lt;'Inputs &amp; Outputs'!B$13+'Inputs &amp; Outputs'!B$19),1,0)</f>
        <v>1</v>
      </c>
      <c r="J21" s="71">
        <f>I21*'Inputs &amp; Outputs'!B$16*'Benefit Calculations'!G21*('Benefit Calculations'!C$4-'Benefit Calculations'!C$5)</f>
        <v>-67.967152850830459</v>
      </c>
      <c r="K21" s="89">
        <f t="shared" si="3"/>
        <v>-1.9479465842889558E-2</v>
      </c>
      <c r="L21" s="72">
        <f>K21*'Assumed Values'!$C$8</f>
        <v>-146.2518295484148</v>
      </c>
      <c r="M21" s="73">
        <f t="shared" si="0"/>
        <v>-46.299583793550354</v>
      </c>
      <c r="N21" s="88">
        <f>I21*'Inputs &amp; Outputs'!B$16*'Benefit Calculations'!G21*('Benefit Calculations'!D$4-'Benefit Calculations'!D$5)</f>
        <v>191.63578172651978</v>
      </c>
      <c r="O21" s="89">
        <f t="shared" si="4"/>
        <v>5.492304014278817E-2</v>
      </c>
      <c r="P21" s="72">
        <f>ABS(O21*'Assumed Values'!$C$7)</f>
        <v>104.62839147201146</v>
      </c>
      <c r="Q21" s="73">
        <f t="shared" si="1"/>
        <v>33.122669255492326</v>
      </c>
      <c r="T21" s="85">
        <f t="shared" si="5"/>
        <v>-1.7671459741215919E-2</v>
      </c>
      <c r="U21" s="86">
        <f>T21*'Assumed Values'!$D$8</f>
        <v>0</v>
      </c>
    </row>
    <row r="22" spans="2:21" x14ac:dyDescent="0.25">
      <c r="F22" s="70">
        <f t="shared" si="2"/>
        <v>2036</v>
      </c>
      <c r="G22" s="80">
        <f t="shared" si="6"/>
        <v>18987.038426668161</v>
      </c>
      <c r="H22" s="79">
        <f t="shared" si="8"/>
        <v>2.1913321659915663E-2</v>
      </c>
      <c r="I22" s="70">
        <f>IF(AND(F22&gt;='Inputs &amp; Outputs'!B$13,F22&lt;'Inputs &amp; Outputs'!B$13+'Inputs &amp; Outputs'!B$19),1,0)</f>
        <v>1</v>
      </c>
      <c r="J22" s="71">
        <f>I22*'Inputs &amp; Outputs'!B$16*'Benefit Calculations'!G22*('Benefit Calculations'!C$4-'Benefit Calculations'!C$5)</f>
        <v>-69.456538933559358</v>
      </c>
      <c r="K22" s="89">
        <f t="shared" si="3"/>
        <v>-1.9906325643668135E-2</v>
      </c>
      <c r="L22" s="72">
        <f>K22*'Assumed Values'!$C$8</f>
        <v>-149.45669293266036</v>
      </c>
      <c r="M22" s="73">
        <f t="shared" si="0"/>
        <v>-44.218842491531433</v>
      </c>
      <c r="N22" s="88">
        <f>I22*'Inputs &amp; Outputs'!B$16*'Benefit Calculations'!G22*('Benefit Calculations'!D$4-'Benefit Calculations'!D$5)</f>
        <v>195.83515825304238</v>
      </c>
      <c r="O22" s="89">
        <f t="shared" si="4"/>
        <v>5.6126586387977545E-2</v>
      </c>
      <c r="P22" s="72">
        <f>ABS(O22*'Assumed Values'!$C$7)</f>
        <v>106.92114706909722</v>
      </c>
      <c r="Q22" s="73">
        <f t="shared" si="1"/>
        <v>31.63410930946068</v>
      </c>
      <c r="T22" s="85">
        <f t="shared" si="5"/>
        <v>-1.8058700122725434E-2</v>
      </c>
      <c r="U22" s="86">
        <f>T22*'Assumed Values'!$D$8</f>
        <v>0</v>
      </c>
    </row>
    <row r="23" spans="2:21" x14ac:dyDescent="0.25">
      <c r="F23" s="70">
        <f t="shared" si="2"/>
        <v>2037</v>
      </c>
      <c r="G23" s="80">
        <f t="shared" si="6"/>
        <v>19403.10750708092</v>
      </c>
      <c r="H23" s="79">
        <f t="shared" si="8"/>
        <v>2.1913321659915663E-2</v>
      </c>
      <c r="I23" s="70">
        <f>IF(AND(F23&gt;='Inputs &amp; Outputs'!B$13,F23&lt;'Inputs &amp; Outputs'!B$13+'Inputs &amp; Outputs'!B$19),1,0)</f>
        <v>1</v>
      </c>
      <c r="J23" s="71">
        <f>I23*'Inputs &amp; Outputs'!B$16*'Benefit Calculations'!G23*('Benefit Calculations'!C$4-'Benefit Calculations'!C$5)</f>
        <v>-70.978562412594897</v>
      </c>
      <c r="K23" s="89">
        <f t="shared" si="3"/>
        <v>-2.0342539360564862E-2</v>
      </c>
      <c r="L23" s="72">
        <f>K23*'Assumed Values'!$C$8</f>
        <v>-152.73178551912099</v>
      </c>
      <c r="M23" s="73">
        <f t="shared" si="0"/>
        <v>-42.23161141166122</v>
      </c>
      <c r="N23" s="88">
        <f>I23*'Inputs &amp; Outputs'!B$16*'Benefit Calculations'!G23*('Benefit Calculations'!D$4-'Benefit Calculations'!D$5)</f>
        <v>200.12655706816179</v>
      </c>
      <c r="O23" s="89">
        <f t="shared" si="4"/>
        <v>5.7356506329170338E-2</v>
      </c>
      <c r="P23" s="72">
        <f>ABS(O23*'Assumed Values'!$C$7)</f>
        <v>109.2641445570695</v>
      </c>
      <c r="Q23" s="73">
        <f t="shared" si="1"/>
        <v>30.212446469330679</v>
      </c>
      <c r="T23" s="85">
        <f t="shared" si="5"/>
        <v>-1.8454426227274674E-2</v>
      </c>
      <c r="U23" s="86">
        <f>T23*'Assumed Values'!$D$8</f>
        <v>0</v>
      </c>
    </row>
    <row r="24" spans="2:21" x14ac:dyDescent="0.25">
      <c r="F24" s="70">
        <f t="shared" si="2"/>
        <v>2038</v>
      </c>
      <c r="G24" s="80">
        <f t="shared" si="6"/>
        <v>19828.294043085509</v>
      </c>
      <c r="H24" s="79">
        <f t="shared" si="8"/>
        <v>2.1913321659915663E-2</v>
      </c>
      <c r="I24" s="70">
        <f>IF(AND(F24&gt;='Inputs &amp; Outputs'!B$13,F24&lt;'Inputs &amp; Outputs'!B$13+'Inputs &amp; Outputs'!B$19),1,0)</f>
        <v>1</v>
      </c>
      <c r="J24" s="71">
        <f>I24*'Inputs &amp; Outputs'!B$16*'Benefit Calculations'!G24*('Benefit Calculations'!C$4-'Benefit Calculations'!C$5)</f>
        <v>-72.533938481700503</v>
      </c>
      <c r="K24" s="89">
        <f t="shared" si="3"/>
        <v>-2.0788311968952415E-2</v>
      </c>
      <c r="L24" s="72">
        <f>K24*'Assumed Values'!$C$8</f>
        <v>-156.07864626289472</v>
      </c>
      <c r="M24" s="73">
        <f t="shared" si="0"/>
        <v>-40.33368812779581</v>
      </c>
      <c r="N24" s="88">
        <f>I24*'Inputs &amp; Outputs'!B$16*'Benefit Calculations'!G24*('Benefit Calculations'!D$4-'Benefit Calculations'!D$5)</f>
        <v>204.51199468588791</v>
      </c>
      <c r="O24" s="89">
        <f t="shared" si="4"/>
        <v>5.861337790165045E-2</v>
      </c>
      <c r="P24" s="72">
        <f>ABS(O24*'Assumed Values'!$C$7)</f>
        <v>111.6584849026441</v>
      </c>
      <c r="Q24" s="73">
        <f t="shared" si="1"/>
        <v>28.854674324248702</v>
      </c>
      <c r="T24" s="85">
        <f t="shared" si="5"/>
        <v>-1.8858824005242133E-2</v>
      </c>
      <c r="U24" s="86">
        <f>T24*'Assumed Values'!$D$8</f>
        <v>0</v>
      </c>
    </row>
    <row r="25" spans="2:21" x14ac:dyDescent="0.25">
      <c r="F25" s="70">
        <f t="shared" si="2"/>
        <v>2039</v>
      </c>
      <c r="G25" s="80">
        <f t="shared" si="6"/>
        <v>20262.797828419032</v>
      </c>
      <c r="H25" s="79">
        <f t="shared" si="8"/>
        <v>2.1913321659915663E-2</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20706.823034963018</v>
      </c>
      <c r="H26" s="79">
        <f t="shared" si="8"/>
        <v>2.1913321659915663E-2</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21160.578308683114</v>
      </c>
      <c r="H27" s="79">
        <f t="shared" si="8"/>
        <v>2.1913321659915663E-2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21624.27686767112</v>
      </c>
      <c r="H28" s="79">
        <f t="shared" si="8"/>
        <v>2.1913321659915663E-2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22098.136602335471</v>
      </c>
      <c r="H29" s="79">
        <f t="shared" si="8"/>
        <v>2.1913321659915663E-2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22582.380177787203</v>
      </c>
      <c r="H30" s="79">
        <f t="shared" si="8"/>
        <v>2.1913321659915663E-2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25719</v>
      </c>
      <c r="H31" s="79">
        <f t="shared" si="8"/>
        <v>2.1913321659915663E-2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26282.588719771371</v>
      </c>
      <c r="H32" s="79">
        <f t="shared" si="8"/>
        <v>2.1913321659915663E-2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26858.527540442992</v>
      </c>
      <c r="H33" s="79">
        <f t="shared" si="8"/>
        <v>2.1913321659915663E-2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27447.087093748421</v>
      </c>
      <c r="H34" s="79">
        <f t="shared" si="8"/>
        <v>2.1913321659915663E-2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28048.543941861451</v>
      </c>
      <c r="H35" s="79">
        <f t="shared" si="8"/>
        <v>2.1913321659915663E-2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28663.180707351741</v>
      </c>
      <c r="H36" s="79">
        <f t="shared" si="8"/>
        <v>2.1913321659915663E-2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-774.74783803902642</v>
      </c>
      <c r="K37" s="71">
        <f t="shared" ref="K37:Q37" si="9">SUM(K4:K36)</f>
        <v>-0.22204364041930508</v>
      </c>
      <c r="L37" s="74">
        <f t="shared" si="9"/>
        <v>-1667.1036522681429</v>
      </c>
      <c r="M37" s="75">
        <f t="shared" si="9"/>
        <v>-631.16068140066034</v>
      </c>
      <c r="N37" s="88">
        <f t="shared" si="9"/>
        <v>2184.4288212188353</v>
      </c>
      <c r="O37" s="88">
        <f t="shared" si="9"/>
        <v>0.62605986604359976</v>
      </c>
      <c r="P37" s="76">
        <f t="shared" si="9"/>
        <v>1192.6440448130577</v>
      </c>
      <c r="Q37" s="75">
        <f t="shared" si="9"/>
        <v>451.53162910327211</v>
      </c>
      <c r="T37" s="85">
        <f>SUM(T4:T36)</f>
        <v>-0.20143443789014684</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2018-10-31T18:29:41Z</dcterms:modified>
</cp:coreProperties>
</file>