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45621"/>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<sst xmlns="http://schemas.openxmlformats.org/spreadsheetml/2006/main" count="262" uniqueCount="130">
  <si>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</si>
  <si>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</si>
  <si>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</si>
  <si>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</si>
  <si>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</si>
  <si>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</si>
  <si>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</si>
  <si>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</si>
  <si>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</si>
  <si>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</si>
  <si>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</si>
  <si>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</si>
  <si>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</si>
  <si>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</si>
  <si>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</si>
  <si>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</si>
  <si>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</si>
  <si>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</si>
  <si>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</si>
  <si>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</si>
  <si>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</si>
  <si>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</si>
  <si>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</si>
  <si>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</si>
  <si>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</si>
  <si>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</si>
  <si>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</si>
  <si>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</si>
  <si>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</si>
  <si>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</si>
  <si>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</si>
  <si>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</si>
  <si>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</si>
  <si>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</si>
  <si>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</si>
  <si>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</si>
  <si>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</si>
  <si>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</si>
  <si>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</si>
  <si>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</si>
  <si>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</si>
  <si>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</si>
  <si>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</si>
  <si>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</si>
  <si>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</si>
  <si>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</si>
  <si>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</si>
  <si>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</si>
  <si>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</si>
  <si>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</si>
  <si>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</si>
  <si>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</si>
  <si>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</si>
  <si>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</si>
  <si>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</si>
  <si>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</si>
  <si>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</si>
  <si>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</si>
  <si>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</si>
  <si>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</si>
  <si>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</si>
  <si>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</si>
  <si>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</si>
  <si>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</si>
  <si>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</si>
  <si>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</si>
  <si>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</si>
  <si>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</si>
  <si>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</si>
  <si>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</si>
  <si>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</si>
  <si>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</si>
  <si>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</si>
  <si>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</si>
  <si>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</si>
  <si>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</si>
  <si>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</si>
  <si>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</si>
  <si>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</si>
  <si>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</si>
  <si>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</si>
  <si>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</si>
  <si>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</si>
  <si>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</si>
  <si>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</si>
  <si>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</si>
  <si>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</si>
  <si>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</si>
  <si>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</si>
  <si>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</si>
  <si>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</si>
  <si>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</si>
  <si>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</si>
  <si>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</si>
  <si>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</si>
  <si>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</si>
  <si>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</si>
  <si>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</si>
  <si>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</si>
  <si>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</si>
  <si>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</si>
  <si>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</si>
  <si>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</si>
  <si>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</si>
  <si>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</si>
  <si>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</si>
  <si>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</si>
  <si>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</si>
  <si>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</si>
  <si>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</si>
  <si>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</si>
  <si>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</si>
  <si>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</si>
  <si>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</si>
  <si>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</si>
  <si>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</si>
  <si>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</si>
  <si>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</si>
  <si>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</si>
  <si>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</si>
  <si>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</si>
  <si>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</si>
  <si>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</si>
  <si>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</si>
  <si>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</si>
  <si>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</si>
  <si>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</si>
  <si>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</si>
  <si>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</si>
  <si>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Rollingbrook Drive Reconstruction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</si>
</sst>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zoomScaleNormal="100" workbookViewId="0">
      <selection activeCell="I27" sqref="I27"/>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2021</v>
      </c>
    </row>
    <row r="14" spans="1:5" x14ac:dyDescent="0.25">
      <c r="A14" s="6" t="s">
        <v>86</v>
      </c>
      <c r="B14" s="6" t="s">
        <v>121</v>
      </c>
    </row>
    <row r="15" spans="1:5" x14ac:dyDescent="0.25">
      <c r="A15" s="106" t="s">
        <v>87</v>
      </c>
      <c r="B15" s="57" t="s">
        <v>76</v>
      </c>
    </row>
    <row r="16" spans="1:5" x14ac:dyDescent="0.25">
      <c r="A16" s="106" t="s">
        <v>88</v>
      </c>
      <c r="B16" s="57">
        <v>0.61</v>
      </c>
    </row>
    <row r="17" spans="1:3" x14ac:dyDescent="0.25">
      <c r="A17" s="107" t="s">
        <v>95</v>
      </c>
      <c r="B17" s="57">
        <v>31</v>
      </c>
    </row>
    <row r="18" spans="1:3" x14ac:dyDescent="0.25">
      <c r="A18" s="107" t="s">
        <v>96</v>
      </c>
      <c r="B18" s="57">
        <v>35</v>
      </c>
    </row>
    <row r="19" spans="1:3" x14ac:dyDescent="0.25">
      <c r="A19" s="96" t="s">
        <v>97</v>
      </c>
      <c r="B19" s="97">
        <f>VLOOKUP(B14,'Service Life'!C6:D8,2,FALSE)</f>
        <v>20</v>
      </c>
    </row>
    <row r="21" spans="1:3" x14ac:dyDescent="0.25">
      <c r="A21" s="102" t="s">
        <v>89</v>
      </c>
    </row>
    <row r="22" spans="1:3" ht="20.25" customHeight="1" x14ac:dyDescent="0.25">
      <c r="A22" s="107" t="s">
        <v>90</v>
      </c>
      <c r="B22" s="119">
        <v>13520</v>
      </c>
    </row>
    <row r="23" spans="1:3" ht="30" x14ac:dyDescent="0.25">
      <c r="A23" s="118" t="s">
        <v>101</v>
      </c>
      <c r="B23" s="120">
        <v>12290</v>
      </c>
    </row>
    <row r="24" spans="1:3" ht="30" x14ac:dyDescent="0.25">
      <c r="A24" s="118" t="s">
        <v>102</v>
      </c>
      <c r="B24" s="120">
        <v>14163</v>
      </c>
    </row>
    <row r="27" spans="1:3" ht="18.75" x14ac:dyDescent="0.3">
      <c r="A27" s="100" t="s">
        <v>55</v>
      </c>
      <c r="B27" s="101"/>
    </row>
    <row r="29" spans="1:3" x14ac:dyDescent="0.25">
      <c r="A29" s="108" t="s">
        <v>53</v>
      </c>
    </row>
    <row r="30" spans="1:3" x14ac:dyDescent="0.25">
      <c r="A30" s="105" t="s">
        <v>112</v>
      </c>
      <c r="B30" s="114">
        <f>'Benefit Calculations'!M37</f>
        <v>271.95770095690182</v>
      </c>
    </row>
    <row r="31" spans="1:3" x14ac:dyDescent="0.25">
      <c r="A31" s="105" t="s">
        <v>113</v>
      </c>
      <c r="B31" s="114">
        <f>'Benefit Calculations'!Q37</f>
        <v>47.634235271250539</v>
      </c>
      <c r="C31" s="109"/>
    </row>
    <row r="32" spans="1:3" x14ac:dyDescent="0.25">
      <c r="A32" s="110"/>
      <c r="B32" s="111"/>
      <c r="C32" s="109"/>
    </row>
    <row r="33" spans="1:9" x14ac:dyDescent="0.25">
      <c r="A33" s="108" t="s">
        <v>94</v>
      </c>
      <c r="B33" s="111"/>
      <c r="C33" s="109"/>
    </row>
    <row r="34" spans="1:9" x14ac:dyDescent="0.25">
      <c r="A34" s="105" t="s">
        <v>114</v>
      </c>
      <c r="B34" s="114">
        <f>$B$30+$B$31</f>
        <v>319.59193622815235</v>
      </c>
      <c r="C34" s="109"/>
    </row>
    <row r="35" spans="1:9" x14ac:dyDescent="0.25">
      <c r="I35" s="112"/>
    </row>
    <row r="36" spans="1:9" x14ac:dyDescent="0.25">
      <c r="A36" s="108" t="s">
        <v>107</v>
      </c>
    </row>
    <row r="37" spans="1:9" x14ac:dyDescent="0.25">
      <c r="A37" s="105" t="s">
        <v>116</v>
      </c>
      <c r="B37" s="115">
        <f>'Benefit Calculations'!K37</f>
        <v>7.8773395120258327E-2</v>
      </c>
    </row>
    <row r="38" spans="1:9" x14ac:dyDescent="0.25">
      <c r="A38" s="105" t="s">
        <v>117</v>
      </c>
      <c r="B38" s="115">
        <f>'Benefit Calculations'!O37</f>
        <v>5.4378432437990384E-2</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6.20126985013E-2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1.41283003612999E-2</v>
      </c>
      <c r="F4" s="70">
        <v>2018</v>
      </c>
      <c r="G4" s="80">
        <f>'Inputs &amp; Outputs'!B22</f>
        <v>13520</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6.0253500938399998E-2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1.29139004275E-2</v>
      </c>
      <c r="F5" s="70">
        <f t="shared" ref="F5:F36" si="2">F4+1</f>
        <v>2019</v>
      </c>
      <c r="G5" s="80">
        <f>G4+G4*H5</f>
        <v>13337.021822750883</v>
      </c>
      <c r="H5" s="79">
        <f>$C$9</f>
        <v>-1.353388884978679E-2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13156.520051814592</v>
      </c>
      <c r="H6" s="79">
        <f t="shared" ref="H6:H11" si="7">$C$9</f>
        <v>-1.353388884978679E-2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12978.461171783343</v>
      </c>
      <c r="H7" s="79">
        <f t="shared" si="7"/>
        <v>-1.353388884978679E-2</v>
      </c>
      <c r="I7" s="70">
        <f>IF(AND(F7&gt;='Inputs &amp; Outputs'!B$13,F7&lt;'Inputs &amp; Outputs'!B$13+'Inputs &amp; Outputs'!B$19),1,0)</f>
        <v>1</v>
      </c>
      <c r="J7" s="71">
        <f>I7*'Inputs &amp; Outputs'!B$16*'Benefit Calculations'!G7*('Benefit Calculations'!C$4-'Benefit Calculations'!C$5)</f>
        <v>13.927323130792068</v>
      </c>
      <c r="K7" s="89">
        <f t="shared" si="3"/>
        <v>3.9915871686514951E-3</v>
      </c>
      <c r="L7" s="72">
        <f>K7*'Assumed Values'!$C$8</f>
        <v>29.968836462235426</v>
      </c>
      <c r="M7" s="73">
        <f t="shared" si="0"/>
        <v>24.463497577011928</v>
      </c>
      <c r="N7" s="88">
        <f>I7*'Inputs &amp; Outputs'!B$16*'Benefit Calculations'!G7*('Benefit Calculations'!D$4-'Benefit Calculations'!D$5)</f>
        <v>9.6142358565813417</v>
      </c>
      <c r="O7" s="89">
        <f t="shared" si="4"/>
        <v>2.7554512896073441E-3</v>
      </c>
      <c r="P7" s="72">
        <f>ABS(O7*'Assumed Values'!$C$7)</f>
        <v>5.2491347067019909</v>
      </c>
      <c r="Q7" s="73">
        <f t="shared" si="1"/>
        <v>4.2848575165949203</v>
      </c>
      <c r="T7" s="85">
        <f t="shared" si="5"/>
        <v>3.6211040140059375E-3</v>
      </c>
      <c r="U7" s="86">
        <f>T7*'Assumed Values'!$D$8</f>
        <v>0</v>
      </c>
    </row>
    <row r="8" spans="2:21" x14ac:dyDescent="0.25">
      <c r="B8" s="15" t="s">
        <v>17</v>
      </c>
      <c r="F8" s="70">
        <f t="shared" si="2"/>
        <v>2022</v>
      </c>
      <c r="G8" s="80">
        <f t="shared" si="6"/>
        <v>12802.812120843153</v>
      </c>
      <c r="H8" s="79">
        <f t="shared" si="7"/>
        <v>-1.353388884978679E-2</v>
      </c>
      <c r="I8" s="70">
        <f>IF(AND(F8&gt;='Inputs &amp; Outputs'!B$13,F8&lt;'Inputs &amp; Outputs'!B$13+'Inputs &amp; Outputs'!B$19),1,0)</f>
        <v>1</v>
      </c>
      <c r="J8" s="71">
        <f>I8*'Inputs &amp; Outputs'!B$16*'Benefit Calculations'!G8*('Benefit Calculations'!C$4-'Benefit Calculations'!C$5)</f>
        <v>13.738832287564863</v>
      </c>
      <c r="K8" s="89">
        <f t="shared" si="3"/>
        <v>3.9375654715767304E-3</v>
      </c>
      <c r="L8" s="72">
        <f>K8*'Assumed Values'!$C$8</f>
        <v>29.563241560598094</v>
      </c>
      <c r="M8" s="73">
        <f t="shared" si="0"/>
        <v>22.553655439184695</v>
      </c>
      <c r="N8" s="88">
        <f>I8*'Inputs &amp; Outputs'!B$16*'Benefit Calculations'!G8*('Benefit Calculations'!D$4-'Benefit Calculations'!D$5)</f>
        <v>9.4841178571227331</v>
      </c>
      <c r="O8" s="89">
        <f t="shared" si="4"/>
        <v>2.7181593181227963E-3</v>
      </c>
      <c r="P8" s="72">
        <f>ABS(O8*'Assumed Values'!$C$7)</f>
        <v>5.1780935010239268</v>
      </c>
      <c r="Q8" s="73">
        <f t="shared" si="1"/>
        <v>3.9503427394655608</v>
      </c>
      <c r="T8" s="85">
        <f t="shared" si="5"/>
        <v>3.5720963947668645E-3</v>
      </c>
      <c r="U8" s="86">
        <f>T8*'Assumed Values'!$D$8</f>
        <v>0</v>
      </c>
    </row>
    <row r="9" spans="2:21" x14ac:dyDescent="0.25">
      <c r="B9" s="16" t="s">
        <v>104</v>
      </c>
      <c r="C9" s="67">
        <f>('Inputs &amp; Outputs'!B23/'Inputs &amp; Outputs'!B22)^(1/(2025-2018))-1</f>
        <v>-1.353388884978679E-2</v>
      </c>
      <c r="F9" s="70">
        <f t="shared" si="2"/>
        <v>2023</v>
      </c>
      <c r="G9" s="80">
        <f t="shared" si="6"/>
        <v>12629.540284634959</v>
      </c>
      <c r="H9" s="79">
        <f t="shared" si="7"/>
        <v>-1.353388884978679E-2</v>
      </c>
      <c r="I9" s="70">
        <f>IF(AND(F9&gt;='Inputs &amp; Outputs'!B$13,F9&lt;'Inputs &amp; Outputs'!B$13+'Inputs &amp; Outputs'!B$19),1,0)</f>
        <v>1</v>
      </c>
      <c r="J9" s="71">
        <f>I9*'Inputs &amp; Outputs'!B$16*'Benefit Calculations'!G9*('Benefit Calculations'!C$4-'Benefit Calculations'!C$5)</f>
        <v>13.552892458459098</v>
      </c>
      <c r="K9" s="89">
        <f t="shared" si="3"/>
        <v>3.8842748981456521E-3</v>
      </c>
      <c r="L9" s="72">
        <f>K9*'Assumed Values'!$C$8</f>
        <v>29.163135935277555</v>
      </c>
      <c r="M9" s="73">
        <f t="shared" si="0"/>
        <v>20.792912872256423</v>
      </c>
      <c r="N9" s="88">
        <f>I9*'Inputs &amp; Outputs'!B$16*'Benefit Calculations'!G9*('Benefit Calculations'!D$4-'Benefit Calculations'!D$5)</f>
        <v>9.355760860206157</v>
      </c>
      <c r="O9" s="89">
        <f t="shared" si="4"/>
        <v>2.6813720520353101E-3</v>
      </c>
      <c r="P9" s="72">
        <f>ABS(O9*'Assumed Values'!$C$7)</f>
        <v>5.1080137591272656</v>
      </c>
      <c r="Q9" s="73">
        <f t="shared" si="1"/>
        <v>3.6419432148701603</v>
      </c>
      <c r="T9" s="85">
        <f t="shared" si="5"/>
        <v>3.5237520391993658E-3</v>
      </c>
      <c r="U9" s="86">
        <f>T9*'Assumed Values'!$D$8</f>
        <v>0</v>
      </c>
    </row>
    <row r="10" spans="2:21" x14ac:dyDescent="0.25">
      <c r="B10" s="16" t="s">
        <v>105</v>
      </c>
      <c r="C10" s="67">
        <f>('Inputs &amp; Outputs'!B24/'Inputs &amp; Outputs'!B23)^(1/(2045-2020))-1</f>
        <v>5.6900072111680799E-3</v>
      </c>
      <c r="F10" s="70">
        <f t="shared" si="2"/>
        <v>2024</v>
      </c>
      <c r="G10" s="80">
        <f t="shared" si="6"/>
        <v>12458.613490198804</v>
      </c>
      <c r="H10" s="79">
        <f t="shared" si="7"/>
        <v>-1.353388884978679E-2</v>
      </c>
      <c r="I10" s="70">
        <f>IF(AND(F10&gt;='Inputs &amp; Outputs'!B$13,F10&lt;'Inputs &amp; Outputs'!B$13+'Inputs &amp; Outputs'!B$19),1,0)</f>
        <v>1</v>
      </c>
      <c r="J10" s="71">
        <f>I10*'Inputs &amp; Outputs'!B$16*'Benefit Calculations'!G10*('Benefit Calculations'!C$4-'Benefit Calculations'!C$5)</f>
        <v>13.369469118333198</v>
      </c>
      <c r="K10" s="89">
        <f t="shared" si="3"/>
        <v>3.831705553412132E-3</v>
      </c>
      <c r="L10" s="72">
        <f>K10*'Assumed Values'!$C$8</f>
        <v>28.768445295018289</v>
      </c>
      <c r="M10" s="73">
        <f t="shared" si="0"/>
        <v>19.169629813626173</v>
      </c>
      <c r="N10" s="88">
        <f>I10*'Inputs &amp; Outputs'!B$16*'Benefit Calculations'!G10*('Benefit Calculations'!D$4-'Benefit Calculations'!D$5)</f>
        <v>9.2291410326189407</v>
      </c>
      <c r="O10" s="89">
        <f t="shared" si="4"/>
        <v>2.6450826607181395E-3</v>
      </c>
      <c r="P10" s="72">
        <f>ABS(O10*'Assumed Values'!$C$7)</f>
        <v>5.0388824686680556</v>
      </c>
      <c r="Q10" s="73">
        <f t="shared" si="1"/>
        <v>3.3576201497223108</v>
      </c>
      <c r="T10" s="85">
        <f t="shared" si="5"/>
        <v>3.4760619707666315E-3</v>
      </c>
      <c r="U10" s="86">
        <f>T10*'Assumed Values'!$D$8</f>
        <v>0</v>
      </c>
    </row>
    <row r="11" spans="2:21" x14ac:dyDescent="0.25">
      <c r="B11" s="16" t="s">
        <v>106</v>
      </c>
      <c r="C11" s="67">
        <f>('Inputs &amp; Outputs'!B24/'Inputs &amp; Outputs'!B22)^(1/(2045-2018))-1</f>
        <v>1.7223281587916972E-3</v>
      </c>
      <c r="F11" s="70">
        <f t="shared" si="2"/>
        <v>2025</v>
      </c>
      <c r="G11" s="80">
        <f>'Inputs &amp; Outputs'!$B$23</f>
        <v>12290</v>
      </c>
      <c r="H11" s="79">
        <f t="shared" si="7"/>
        <v>-1.353388884978679E-2</v>
      </c>
      <c r="I11" s="70">
        <f>IF(AND(F11&gt;='Inputs &amp; Outputs'!B$13,F11&lt;'Inputs &amp; Outputs'!B$13+'Inputs &amp; Outputs'!B$19),1,0)</f>
        <v>1</v>
      </c>
      <c r="J11" s="71">
        <f>I11*'Inputs &amp; Outputs'!B$16*'Benefit Calculations'!G11*('Benefit Calculations'!C$4-'Benefit Calculations'!C$5)</f>
        <v>13.188528209305021</v>
      </c>
      <c r="K11" s="89">
        <f t="shared" si="3"/>
        <v>3.7798476763471417E-3</v>
      </c>
      <c r="L11" s="72">
        <f>K11*'Assumed Values'!$C$8</f>
        <v>28.37909635401434</v>
      </c>
      <c r="M11" s="73">
        <f t="shared" si="0"/>
        <v>17.67307492938037</v>
      </c>
      <c r="N11" s="88">
        <f>I11*'Inputs &amp; Outputs'!B$16*'Benefit Calculations'!G11*('Benefit Calculations'!D$4-'Benefit Calculations'!D$5)</f>
        <v>9.1042348637044697</v>
      </c>
      <c r="O11" s="89">
        <f t="shared" si="4"/>
        <v>2.6092844059894815E-3</v>
      </c>
      <c r="P11" s="72">
        <f>ABS(O11*'Assumed Values'!$C$7)</f>
        <v>4.9706867934099623</v>
      </c>
      <c r="Q11" s="73">
        <f t="shared" si="1"/>
        <v>3.0954939175852001</v>
      </c>
      <c r="T11" s="85">
        <f t="shared" si="5"/>
        <v>3.4290173344193055E-3</v>
      </c>
      <c r="U11" s="86">
        <f>T11*'Assumed Values'!$D$8</f>
        <v>0</v>
      </c>
    </row>
    <row r="12" spans="2:21" x14ac:dyDescent="0.25">
      <c r="B12" s="27"/>
      <c r="C12" s="68"/>
      <c r="F12" s="70">
        <f t="shared" si="2"/>
        <v>2026</v>
      </c>
      <c r="G12" s="80">
        <f t="shared" si="6"/>
        <v>12359.930188625256</v>
      </c>
      <c r="H12" s="79">
        <f>$C$10</f>
        <v>5.6900072111680799E-3</v>
      </c>
      <c r="I12" s="70">
        <f>IF(AND(F12&gt;='Inputs &amp; Outputs'!B$13,F12&lt;'Inputs &amp; Outputs'!B$13+'Inputs &amp; Outputs'!B$19),1,0)</f>
        <v>1</v>
      </c>
      <c r="J12" s="71">
        <f>I12*'Inputs &amp; Outputs'!B$16*'Benefit Calculations'!G12*('Benefit Calculations'!C$4-'Benefit Calculations'!C$5)</f>
        <v>13.26357102992066</v>
      </c>
      <c r="K12" s="89">
        <f t="shared" si="3"/>
        <v>3.8013550368826742E-3</v>
      </c>
      <c r="L12" s="72">
        <f>K12*'Assumed Values'!$C$8</f>
        <v>28.540573616915118</v>
      </c>
      <c r="M12" s="73">
        <f t="shared" si="0"/>
        <v>16.610873694553327</v>
      </c>
      <c r="N12" s="88">
        <f>I12*'Inputs &amp; Outputs'!B$16*'Benefit Calculations'!G12*('Benefit Calculations'!D$4-'Benefit Calculations'!D$5)</f>
        <v>9.1560380257311156</v>
      </c>
      <c r="O12" s="89">
        <f t="shared" si="4"/>
        <v>2.6241312530755501E-3</v>
      </c>
      <c r="P12" s="72">
        <f>ABS(O12*'Assumed Values'!$C$7)</f>
        <v>4.998970037108923</v>
      </c>
      <c r="Q12" s="73">
        <f t="shared" si="1"/>
        <v>2.9094460750452211</v>
      </c>
      <c r="T12" s="85">
        <f t="shared" si="5"/>
        <v>3.4485284677793714E-3</v>
      </c>
      <c r="U12" s="86">
        <f>T12*'Assumed Values'!$D$8</f>
        <v>0</v>
      </c>
    </row>
    <row r="13" spans="2:21" x14ac:dyDescent="0.25">
      <c r="B13" s="27"/>
      <c r="C13" s="68"/>
      <c r="F13" s="70">
        <f t="shared" si="2"/>
        <v>2027</v>
      </c>
      <c r="G13" s="80">
        <f t="shared" si="6"/>
        <v>12430.258280528067</v>
      </c>
      <c r="H13" s="79">
        <f t="shared" ref="H13:H36" si="8">$C$10</f>
        <v>5.6900072111680799E-3</v>
      </c>
      <c r="I13" s="70">
        <f>IF(AND(F13&gt;='Inputs &amp; Outputs'!B$13,F13&lt;'Inputs &amp; Outputs'!B$13+'Inputs &amp; Outputs'!B$19),1,0)</f>
        <v>1</v>
      </c>
      <c r="J13" s="71">
        <f>I13*'Inputs &amp; Outputs'!B$16*'Benefit Calculations'!G13*('Benefit Calculations'!C$4-'Benefit Calculations'!C$5)</f>
        <v>13.339040844726748</v>
      </c>
      <c r="K13" s="89">
        <f t="shared" si="3"/>
        <v>3.8229847744547462E-3</v>
      </c>
      <c r="L13" s="72">
        <f>K13*'Assumed Values'!$C$8</f>
        <v>28.702969686606234</v>
      </c>
      <c r="M13" s="73">
        <f t="shared" si="0"/>
        <v>15.612513724915079</v>
      </c>
      <c r="N13" s="88">
        <f>I13*'Inputs &amp; Outputs'!B$16*'Benefit Calculations'!G13*('Benefit Calculations'!D$4-'Benefit Calculations'!D$5)</f>
        <v>9.208135948123255</v>
      </c>
      <c r="O13" s="89">
        <f t="shared" si="4"/>
        <v>2.6390625788286015E-3</v>
      </c>
      <c r="P13" s="72">
        <f>ABS(O13*'Assumed Values'!$C$7)</f>
        <v>5.0274142126684858</v>
      </c>
      <c r="Q13" s="73">
        <f t="shared" si="1"/>
        <v>2.7345802282175073</v>
      </c>
      <c r="T13" s="85">
        <f t="shared" si="5"/>
        <v>3.4681506196289542E-3</v>
      </c>
      <c r="U13" s="86">
        <f>T13*'Assumed Values'!$D$8</f>
        <v>0</v>
      </c>
    </row>
    <row r="14" spans="2:21" x14ac:dyDescent="0.25">
      <c r="B14" s="27"/>
      <c r="C14" s="68"/>
      <c r="F14" s="70">
        <f t="shared" si="2"/>
        <v>2028</v>
      </c>
      <c r="G14" s="80">
        <f t="shared" si="6"/>
        <v>12500.986539780954</v>
      </c>
      <c r="H14" s="79">
        <f t="shared" si="8"/>
        <v>5.6900072111680799E-3</v>
      </c>
      <c r="I14" s="70">
        <f>IF(AND(F14&gt;='Inputs &amp; Outputs'!B$13,F14&lt;'Inputs &amp; Outputs'!B$13+'Inputs &amp; Outputs'!B$19),1,0)</f>
        <v>1</v>
      </c>
      <c r="J14" s="71">
        <f>I14*'Inputs &amp; Outputs'!B$16*'Benefit Calculations'!G14*('Benefit Calculations'!C$4-'Benefit Calculations'!C$5)</f>
        <v>13.414940083323309</v>
      </c>
      <c r="K14" s="89">
        <f t="shared" si="3"/>
        <v>3.8447375853895792E-3</v>
      </c>
      <c r="L14" s="72">
        <f>K14*'Assumed Values'!$C$8</f>
        <v>28.866289791104961</v>
      </c>
      <c r="M14" s="73">
        <f t="shared" si="0"/>
        <v>14.674157981863837</v>
      </c>
      <c r="N14" s="88">
        <f>I14*'Inputs &amp; Outputs'!B$16*'Benefit Calculations'!G14*('Benefit Calculations'!D$4-'Benefit Calculations'!D$5)</f>
        <v>9.2605303080694927</v>
      </c>
      <c r="O14" s="89">
        <f t="shared" si="4"/>
        <v>2.6540788639328604E-3</v>
      </c>
      <c r="P14" s="72">
        <f>ABS(O14*'Assumed Values'!$C$7)</f>
        <v>5.0560202357920989</v>
      </c>
      <c r="Q14" s="73">
        <f t="shared" si="1"/>
        <v>2.5702243078837226</v>
      </c>
      <c r="T14" s="85">
        <f t="shared" si="5"/>
        <v>3.4878844216640606E-3</v>
      </c>
      <c r="U14" s="86">
        <f>T14*'Assumed Values'!$D$8</f>
        <v>0</v>
      </c>
    </row>
    <row r="15" spans="2:21" x14ac:dyDescent="0.25">
      <c r="B15" s="27"/>
      <c r="C15" s="69"/>
      <c r="F15" s="70">
        <f t="shared" si="2"/>
        <v>2029</v>
      </c>
      <c r="G15" s="80">
        <f t="shared" si="6"/>
        <v>12572.117243339022</v>
      </c>
      <c r="H15" s="79">
        <f t="shared" si="8"/>
        <v>5.6900072111680799E-3</v>
      </c>
      <c r="I15" s="70">
        <f>IF(AND(F15&gt;='Inputs &amp; Outputs'!B$13,F15&lt;'Inputs &amp; Outputs'!B$13+'Inputs &amp; Outputs'!B$19),1,0)</f>
        <v>1</v>
      </c>
      <c r="J15" s="71">
        <f>I15*'Inputs &amp; Outputs'!B$16*'Benefit Calculations'!G15*('Benefit Calculations'!C$4-'Benefit Calculations'!C$5)</f>
        <v>13.491271189134805</v>
      </c>
      <c r="K15" s="89">
        <f t="shared" si="3"/>
        <v>3.8666141699754946E-3</v>
      </c>
      <c r="L15" s="72">
        <f>K15*'Assumed Values'!$C$8</f>
        <v>29.030539188176014</v>
      </c>
      <c r="M15" s="73">
        <f t="shared" si="0"/>
        <v>13.792200043549963</v>
      </c>
      <c r="N15" s="88">
        <f>I15*'Inputs &amp; Outputs'!B$16*'Benefit Calculations'!G15*('Benefit Calculations'!D$4-'Benefit Calculations'!D$5)</f>
        <v>9.313222792301648</v>
      </c>
      <c r="O15" s="89">
        <f t="shared" si="4"/>
        <v>2.6691805918076469E-3</v>
      </c>
      <c r="P15" s="72">
        <f>ABS(O15*'Assumed Values'!$C$7)</f>
        <v>5.0847890273935672</v>
      </c>
      <c r="Q15" s="73">
        <f t="shared" si="1"/>
        <v>2.4157466380653267</v>
      </c>
      <c r="T15" s="85">
        <f t="shared" si="5"/>
        <v>3.507730509175049E-3</v>
      </c>
      <c r="U15" s="86">
        <f>T15*'Assumed Values'!$D$8</f>
        <v>0</v>
      </c>
    </row>
    <row r="16" spans="2:21" x14ac:dyDescent="0.25">
      <c r="B16" s="27"/>
      <c r="C16" s="69"/>
      <c r="F16" s="70">
        <f t="shared" si="2"/>
        <v>2030</v>
      </c>
      <c r="G16" s="80">
        <f t="shared" si="6"/>
        <v>12643.652681113272</v>
      </c>
      <c r="H16" s="79">
        <f t="shared" si="8"/>
        <v>5.6900072111680799E-3</v>
      </c>
      <c r="I16" s="70">
        <f>IF(AND(F16&gt;='Inputs &amp; Outputs'!B$13,F16&lt;'Inputs &amp; Outputs'!B$13+'Inputs &amp; Outputs'!B$19),1,0)</f>
        <v>1</v>
      </c>
      <c r="J16" s="71">
        <f>I16*'Inputs &amp; Outputs'!B$16*'Benefit Calculations'!G16*('Benefit Calculations'!C$4-'Benefit Calculations'!C$5)</f>
        <v>13.568036619488806</v>
      </c>
      <c r="K16" s="89">
        <f t="shared" si="3"/>
        <v>3.8886152324854599E-3</v>
      </c>
      <c r="L16" s="72">
        <f>K16*'Assumed Values'!$C$8</f>
        <v>29.195723165500834</v>
      </c>
      <c r="M16" s="73">
        <f t="shared" si="0"/>
        <v>12.963250244164147</v>
      </c>
      <c r="N16" s="88">
        <f>I16*'Inputs &amp; Outputs'!B$16*'Benefit Calculations'!G16*('Benefit Calculations'!D$4-'Benefit Calculations'!D$5)</f>
        <v>9.366215097149059</v>
      </c>
      <c r="O16" s="89">
        <f t="shared" si="4"/>
        <v>2.6843682486229425E-3</v>
      </c>
      <c r="P16" s="72">
        <f>ABS(O16*'Assumed Values'!$C$7)</f>
        <v>5.1137215136267056</v>
      </c>
      <c r="Q16" s="73">
        <f t="shared" si="1"/>
        <v>2.2705535082768917</v>
      </c>
      <c r="T16" s="85">
        <f t="shared" si="5"/>
        <v>3.5276895210670897E-3</v>
      </c>
      <c r="U16" s="86">
        <f>T16*'Assumed Values'!$D$8</f>
        <v>0</v>
      </c>
    </row>
    <row r="17" spans="2:21" x14ac:dyDescent="0.25">
      <c r="B17" s="27"/>
      <c r="C17" s="69"/>
      <c r="F17" s="70">
        <f t="shared" si="2"/>
        <v>2031</v>
      </c>
      <c r="G17" s="80">
        <f t="shared" si="6"/>
        <v>12715.59515604431</v>
      </c>
      <c r="H17" s="79">
        <f t="shared" si="8"/>
        <v>5.6900072111680799E-3</v>
      </c>
      <c r="I17" s="70">
        <f>IF(AND(F17&gt;='Inputs &amp; Outputs'!B$13,F17&lt;'Inputs &amp; Outputs'!B$13+'Inputs &amp; Outputs'!B$19),1,0)</f>
        <v>1</v>
      </c>
      <c r="J17" s="71">
        <f>I17*'Inputs &amp; Outputs'!B$16*'Benefit Calculations'!G17*('Benefit Calculations'!C$4-'Benefit Calculations'!C$5)</f>
        <v>13.64523884569509</v>
      </c>
      <c r="K17" s="89">
        <f t="shared" si="3"/>
        <v>3.9107414811997603E-3</v>
      </c>
      <c r="L17" s="72">
        <f>K17*'Assumed Values'!$C$8</f>
        <v>29.361847040847799</v>
      </c>
      <c r="M17" s="73">
        <f t="shared" si="0"/>
        <v>12.184122646293099</v>
      </c>
      <c r="N17" s="88">
        <f>I17*'Inputs &amp; Outputs'!B$16*'Benefit Calculations'!G17*('Benefit Calculations'!D$4-'Benefit Calculations'!D$5)</f>
        <v>9.4195089285931886</v>
      </c>
      <c r="O17" s="89">
        <f t="shared" si="4"/>
        <v>2.6996423233150374E-3</v>
      </c>
      <c r="P17" s="72">
        <f>ABS(O17*'Assumed Values'!$C$7)</f>
        <v>5.1428186259151465</v>
      </c>
      <c r="Q17" s="73">
        <f t="shared" si="1"/>
        <v>2.1340868916937663</v>
      </c>
      <c r="T17" s="85">
        <f t="shared" si="5"/>
        <v>3.5477620998807234E-3</v>
      </c>
      <c r="U17" s="86">
        <f>T17*'Assumed Values'!$D$8</f>
        <v>0</v>
      </c>
    </row>
    <row r="18" spans="2:21" x14ac:dyDescent="0.25">
      <c r="F18" s="70">
        <f t="shared" si="2"/>
        <v>2032</v>
      </c>
      <c r="G18" s="80">
        <f t="shared" si="6"/>
        <v>12787.946984176497</v>
      </c>
      <c r="H18" s="79">
        <f t="shared" si="8"/>
        <v>5.6900072111680799E-3</v>
      </c>
      <c r="I18" s="70">
        <f>IF(AND(F18&gt;='Inputs &amp; Outputs'!B$13,F18&lt;'Inputs &amp; Outputs'!B$13+'Inputs &amp; Outputs'!B$19),1,0)</f>
        <v>1</v>
      </c>
      <c r="J18" s="71">
        <f>I18*'Inputs &amp; Outputs'!B$16*'Benefit Calculations'!G18*('Benefit Calculations'!C$4-'Benefit Calculations'!C$5)</f>
        <v>13.722880353125207</v>
      </c>
      <c r="K18" s="89">
        <f t="shared" si="3"/>
        <v>3.9329936284288013E-3</v>
      </c>
      <c r="L18" s="72">
        <f>K18*'Assumed Values'!$C$8</f>
        <v>29.528916162243441</v>
      </c>
      <c r="M18" s="73">
        <f t="shared" si="0"/>
        <v>11.451822796273145</v>
      </c>
      <c r="N18" s="88">
        <f>I18*'Inputs &amp; Outputs'!B$16*'Benefit Calculations'!G18*('Benefit Calculations'!D$4-'Benefit Calculations'!D$5)</f>
        <v>9.4731060023225471</v>
      </c>
      <c r="O18" s="89">
        <f t="shared" si="4"/>
        <v>2.7150033076022749E-3</v>
      </c>
      <c r="P18" s="72">
        <f>ABS(O18*'Assumed Values'!$C$7)</f>
        <v>5.1720813009823337</v>
      </c>
      <c r="Q18" s="73">
        <f t="shared" si="1"/>
        <v>2.0058223004642648</v>
      </c>
      <c r="T18" s="85">
        <f t="shared" si="5"/>
        <v>3.567948891812554E-3</v>
      </c>
      <c r="U18" s="86">
        <f>T18*'Assumed Values'!$D$8</f>
        <v>0</v>
      </c>
    </row>
    <row r="19" spans="2:21" x14ac:dyDescent="0.25">
      <c r="F19" s="70">
        <f t="shared" si="2"/>
        <v>2033</v>
      </c>
      <c r="G19" s="80">
        <f t="shared" si="6"/>
        <v>12860.710494732497</v>
      </c>
      <c r="H19" s="79">
        <f t="shared" si="8"/>
        <v>5.6900072111680799E-3</v>
      </c>
      <c r="I19" s="70">
        <f>IF(AND(F19&gt;='Inputs &amp; Outputs'!B$13,F19&lt;'Inputs &amp; Outputs'!B$13+'Inputs &amp; Outputs'!B$19),1,0)</f>
        <v>1</v>
      </c>
      <c r="J19" s="71">
        <f>I19*'Inputs &amp; Outputs'!B$16*'Benefit Calculations'!G19*('Benefit Calculations'!C$4-'Benefit Calculations'!C$5)</f>
        <v>13.800963641292487</v>
      </c>
      <c r="K19" s="89">
        <f t="shared" si="3"/>
        <v>3.9553723905360397E-3</v>
      </c>
      <c r="L19" s="72">
        <f>K19*'Assumed Values'!$C$8</f>
        <v>29.696935908144585</v>
      </c>
      <c r="M19" s="73">
        <f t="shared" si="0"/>
        <v>10.763536215481269</v>
      </c>
      <c r="N19" s="88">
        <f>I19*'Inputs &amp; Outputs'!B$16*'Benefit Calculations'!G19*('Benefit Calculations'!D$4-'Benefit Calculations'!D$5)</f>
        <v>9.5270080437879212</v>
      </c>
      <c r="O19" s="89">
        <f t="shared" si="4"/>
        <v>2.7304516960008768E-3</v>
      </c>
      <c r="P19" s="72">
        <f>ABS(O19*'Assumed Values'!$C$7)</f>
        <v>5.2015104808816703</v>
      </c>
      <c r="Q19" s="73">
        <f t="shared" si="1"/>
        <v>1.8852667699235777</v>
      </c>
      <c r="T19" s="85">
        <f t="shared" si="5"/>
        <v>3.5882505467360465E-3</v>
      </c>
      <c r="U19" s="86">
        <f>T19*'Assumed Values'!$D$8</f>
        <v>0</v>
      </c>
    </row>
    <row r="20" spans="2:21" x14ac:dyDescent="0.25">
      <c r="F20" s="70">
        <f t="shared" si="2"/>
        <v>2034</v>
      </c>
      <c r="G20" s="80">
        <f t="shared" si="6"/>
        <v>12933.888030188269</v>
      </c>
      <c r="H20" s="79">
        <f t="shared" si="8"/>
        <v>5.6900072111680799E-3</v>
      </c>
      <c r="I20" s="70">
        <f>IF(AND(F20&gt;='Inputs &amp; Outputs'!B$13,F20&lt;'Inputs &amp; Outputs'!B$13+'Inputs &amp; Outputs'!B$19),1,0)</f>
        <v>1</v>
      </c>
      <c r="J20" s="71">
        <f>I20*'Inputs &amp; Outputs'!B$16*'Benefit Calculations'!G20*('Benefit Calculations'!C$4-'Benefit Calculations'!C$5)</f>
        <v>13.87949122393251</v>
      </c>
      <c r="K20" s="89">
        <f t="shared" si="3"/>
        <v>3.9778784879610446E-3</v>
      </c>
      <c r="L20" s="72">
        <f>K20*'Assumed Values'!$C$8</f>
        <v>29.865911687611522</v>
      </c>
      <c r="M20" s="73">
        <f t="shared" si="0"/>
        <v>10.1166175833318</v>
      </c>
      <c r="N20" s="88">
        <f>I20*'Inputs &amp; Outputs'!B$16*'Benefit Calculations'!G20*('Benefit Calculations'!D$4-'Benefit Calculations'!D$5)</f>
        <v>9.5812167882579313</v>
      </c>
      <c r="O20" s="89">
        <f t="shared" si="4"/>
        <v>2.7459879858408682E-3</v>
      </c>
      <c r="P20" s="72">
        <f>ABS(O20*'Assumed Values'!$C$7)</f>
        <v>5.2311071130268543</v>
      </c>
      <c r="Q20" s="73">
        <f t="shared" si="1"/>
        <v>1.7719569639620738</v>
      </c>
      <c r="T20" s="85">
        <f t="shared" si="5"/>
        <v>3.6086677182224527E-3</v>
      </c>
      <c r="U20" s="86">
        <f>T20*'Assumed Values'!$D$8</f>
        <v>0</v>
      </c>
    </row>
    <row r="21" spans="2:21" x14ac:dyDescent="0.25">
      <c r="F21" s="70">
        <f t="shared" si="2"/>
        <v>2035</v>
      </c>
      <c r="G21" s="80">
        <f t="shared" si="6"/>
        <v>13007.48194634848</v>
      </c>
      <c r="H21" s="79">
        <f t="shared" si="8"/>
        <v>5.6900072111680799E-3</v>
      </c>
      <c r="I21" s="70">
        <f>IF(AND(F21&gt;='Inputs &amp; Outputs'!B$13,F21&lt;'Inputs &amp; Outputs'!B$13+'Inputs &amp; Outputs'!B$19),1,0)</f>
        <v>1</v>
      </c>
      <c r="J21" s="71">
        <f>I21*'Inputs &amp; Outputs'!B$16*'Benefit Calculations'!G21*('Benefit Calculations'!C$4-'Benefit Calculations'!C$5)</f>
        <v>13.958465629084028</v>
      </c>
      <c r="K21" s="89">
        <f t="shared" si="3"/>
        <v>4.0005126452426929E-3</v>
      </c>
      <c r="L21" s="72">
        <f>K21*'Assumed Values'!$C$8</f>
        <v>30.03584894048214</v>
      </c>
      <c r="M21" s="73">
        <f t="shared" si="0"/>
        <v>9.508580570405222</v>
      </c>
      <c r="N21" s="88">
        <f>I21*'Inputs &amp; Outputs'!B$16*'Benefit Calculations'!G21*('Benefit Calculations'!D$4-'Benefit Calculations'!D$5)</f>
        <v>9.6357339808748819</v>
      </c>
      <c r="O21" s="89">
        <f t="shared" si="4"/>
        <v>2.7616126772820829E-3</v>
      </c>
      <c r="P21" s="72">
        <f>ABS(O21*'Assumed Values'!$C$7)</f>
        <v>5.2608721502223679</v>
      </c>
      <c r="Q21" s="73">
        <f t="shared" si="1"/>
        <v>1.6654573942662587</v>
      </c>
      <c r="T21" s="85">
        <f t="shared" si="5"/>
        <v>3.6292010635618471E-3</v>
      </c>
      <c r="U21" s="86">
        <f>T21*'Assumed Values'!$D$8</f>
        <v>0</v>
      </c>
    </row>
    <row r="22" spans="2:21" x14ac:dyDescent="0.25">
      <c r="F22" s="70">
        <f t="shared" si="2"/>
        <v>2036</v>
      </c>
      <c r="G22" s="80">
        <f t="shared" si="6"/>
        <v>13081.494612422341</v>
      </c>
      <c r="H22" s="79">
        <f t="shared" si="8"/>
        <v>5.6900072111680799E-3</v>
      </c>
      <c r="I22" s="70">
        <f>IF(AND(F22&gt;='Inputs &amp; Outputs'!B$13,F22&lt;'Inputs &amp; Outputs'!B$13+'Inputs &amp; Outputs'!B$19),1,0)</f>
        <v>1</v>
      </c>
      <c r="J22" s="71">
        <f>I22*'Inputs &amp; Outputs'!B$16*'Benefit Calculations'!G22*('Benefit Calculations'!C$4-'Benefit Calculations'!C$5)</f>
        <v>14.037889399170357</v>
      </c>
      <c r="K22" s="89">
        <f t="shared" si="3"/>
        <v>4.0232755910424925E-3</v>
      </c>
      <c r="L22" s="72">
        <f>K22*'Assumed Values'!$C$8</f>
        <v>30.206753137547032</v>
      </c>
      <c r="M22" s="73">
        <f t="shared" si="0"/>
        <v>8.9370882826343916</v>
      </c>
      <c r="N22" s="88">
        <f>I22*'Inputs &amp; Outputs'!B$16*'Benefit Calculations'!G22*('Benefit Calculations'!D$4-'Benefit Calculations'!D$5)</f>
        <v>9.6905613767109582</v>
      </c>
      <c r="O22" s="89">
        <f t="shared" si="4"/>
        <v>2.7773262733302717E-3</v>
      </c>
      <c r="P22" s="72">
        <f>ABS(O22*'Assumed Values'!$C$7)</f>
        <v>5.2908065506941675</v>
      </c>
      <c r="Q22" s="73">
        <f t="shared" si="1"/>
        <v>1.5653587465883432</v>
      </c>
      <c r="T22" s="85">
        <f t="shared" si="5"/>
        <v>3.6498512437842926E-3</v>
      </c>
      <c r="U22" s="86">
        <f>T22*'Assumed Values'!$D$8</f>
        <v>0</v>
      </c>
    </row>
    <row r="23" spans="2:21" x14ac:dyDescent="0.25">
      <c r="F23" s="70">
        <f t="shared" si="2"/>
        <v>2037</v>
      </c>
      <c r="G23" s="80">
        <f t="shared" si="6"/>
        <v>13155.92841109988</v>
      </c>
      <c r="H23" s="79">
        <f t="shared" si="8"/>
        <v>5.6900072111680799E-3</v>
      </c>
      <c r="I23" s="70">
        <f>IF(AND(F23&gt;='Inputs &amp; Outputs'!B$13,F23&lt;'Inputs &amp; Outputs'!B$13+'Inputs &amp; Outputs'!B$19),1,0)</f>
        <v>1</v>
      </c>
      <c r="J23" s="71">
        <f>I23*'Inputs &amp; Outputs'!B$16*'Benefit Calculations'!G23*('Benefit Calculations'!C$4-'Benefit Calculations'!C$5)</f>
        <v>14.117765091081216</v>
      </c>
      <c r="K23" s="89">
        <f t="shared" si="3"/>
        <v>4.0461680581680409E-3</v>
      </c>
      <c r="L23" s="72">
        <f>K23*'Assumed Values'!$C$8</f>
        <v>30.37862978072565</v>
      </c>
      <c r="M23" s="73">
        <f t="shared" si="0"/>
        <v>8.3999442798218933</v>
      </c>
      <c r="N23" s="88">
        <f>I23*'Inputs &amp; Outputs'!B$16*'Benefit Calculations'!G23*('Benefit Calculations'!D$4-'Benefit Calculations'!D$5)</f>
        <v>9.7457007408247094</v>
      </c>
      <c r="O23" s="89">
        <f t="shared" si="4"/>
        <v>2.7931292798532869E-3</v>
      </c>
      <c r="P23" s="72">
        <f>ABS(O23*'Assumed Values'!$C$7)</f>
        <v>5.3209112781205112</v>
      </c>
      <c r="Q23" s="73">
        <f t="shared" si="1"/>
        <v>1.4712763076116779</v>
      </c>
      <c r="T23" s="85">
        <f t="shared" si="5"/>
        <v>3.670618923681116E-3</v>
      </c>
      <c r="U23" s="86">
        <f>T23*'Assumed Values'!$D$8</f>
        <v>0</v>
      </c>
    </row>
    <row r="24" spans="2:21" x14ac:dyDescent="0.25">
      <c r="F24" s="70">
        <f t="shared" si="2"/>
        <v>2038</v>
      </c>
      <c r="G24" s="80">
        <f t="shared" si="6"/>
        <v>13230.785738628649</v>
      </c>
      <c r="H24" s="79">
        <f t="shared" si="8"/>
        <v>5.6900072111680799E-3</v>
      </c>
      <c r="I24" s="70">
        <f>IF(AND(F24&gt;='Inputs &amp; Outputs'!B$13,F24&lt;'Inputs &amp; Outputs'!B$13+'Inputs &amp; Outputs'!B$19),1,0)</f>
        <v>1</v>
      </c>
      <c r="J24" s="71">
        <f>I24*'Inputs &amp; Outputs'!B$16*'Benefit Calculations'!G24*('Benefit Calculations'!C$4-'Benefit Calculations'!C$5)</f>
        <v>14.198095276255044</v>
      </c>
      <c r="K24" s="89">
        <f t="shared" si="3"/>
        <v>4.069190783596615E-3</v>
      </c>
      <c r="L24" s="72">
        <f>K24*'Assumed Values'!$C$8</f>
        <v>30.551484403243386</v>
      </c>
      <c r="M24" s="73">
        <f t="shared" si="0"/>
        <v>7.8950841339696183</v>
      </c>
      <c r="N24" s="88">
        <f>I24*'Inputs &amp; Outputs'!B$16*'Benefit Calculations'!G24*('Benefit Calculations'!D$4-'Benefit Calculations'!D$5)</f>
        <v>9.8011538483178882</v>
      </c>
      <c r="O24" s="89">
        <f t="shared" si="4"/>
        <v>2.8090222055973772E-3</v>
      </c>
      <c r="P24" s="72">
        <f>ABS(O24*'Assumed Values'!$C$7)</f>
        <v>5.3511873016630034</v>
      </c>
      <c r="Q24" s="73">
        <f t="shared" si="1"/>
        <v>1.3828484863659902</v>
      </c>
      <c r="T24" s="85">
        <f t="shared" si="5"/>
        <v>3.6915047718263112E-3</v>
      </c>
      <c r="U24" s="86">
        <f>T24*'Assumed Values'!$D$8</f>
        <v>0</v>
      </c>
    </row>
    <row r="25" spans="2:21" x14ac:dyDescent="0.25">
      <c r="F25" s="70">
        <f t="shared" si="2"/>
        <v>2039</v>
      </c>
      <c r="G25" s="80">
        <f t="shared" si="6"/>
        <v>13306.069004890865</v>
      </c>
      <c r="H25" s="79">
        <f t="shared" si="8"/>
        <v>5.6900072111680799E-3</v>
      </c>
      <c r="I25" s="70">
        <f>IF(AND(F25&gt;='Inputs &amp; Outputs'!B$13,F25&lt;'Inputs &amp; Outputs'!B$13+'Inputs &amp; Outputs'!B$19),1,0)</f>
        <v>1</v>
      </c>
      <c r="J25" s="71">
        <f>I25*'Inputs &amp; Outputs'!B$16*'Benefit Calculations'!G25*('Benefit Calculations'!C$4-'Benefit Calculations'!C$5)</f>
        <v>14.278882540761787</v>
      </c>
      <c r="K25" s="89">
        <f t="shared" si="3"/>
        <v>4.0923445084988987E-3</v>
      </c>
      <c r="L25" s="72">
        <f>K25*'Assumed Values'!$C$8</f>
        <v>30.72532256980973</v>
      </c>
      <c r="M25" s="73">
        <f t="shared" si="0"/>
        <v>7.4205674949763401</v>
      </c>
      <c r="N25" s="88">
        <f>I25*'Inputs &amp; Outputs'!B$16*'Benefit Calculations'!G25*('Benefit Calculations'!D$4-'Benefit Calculations'!D$5)</f>
        <v>9.8569224843925838</v>
      </c>
      <c r="O25" s="89">
        <f t="shared" si="4"/>
        <v>2.8250055622035569E-3</v>
      </c>
      <c r="P25" s="72">
        <f>ABS(O25*'Assumed Values'!$C$7)</f>
        <v>5.3816355959977757</v>
      </c>
      <c r="Q25" s="73">
        <f t="shared" si="1"/>
        <v>1.299735424509687</v>
      </c>
      <c r="T25" s="85">
        <f t="shared" si="5"/>
        <v>3.7125094605980646E-3</v>
      </c>
      <c r="U25" s="86">
        <f>T25*'Assumed Values'!$D$8</f>
        <v>0</v>
      </c>
    </row>
    <row r="26" spans="2:21" x14ac:dyDescent="0.25">
      <c r="F26" s="70">
        <f t="shared" si="2"/>
        <v>2040</v>
      </c>
      <c r="G26" s="80">
        <f t="shared" si="6"/>
        <v>13381.780633480994</v>
      </c>
      <c r="H26" s="79">
        <f t="shared" si="8"/>
        <v>5.6900072111680799E-3</v>
      </c>
      <c r="I26" s="70">
        <f>IF(AND(F26&gt;='Inputs &amp; Outputs'!B$13,F26&lt;'Inputs &amp; Outputs'!B$13+'Inputs &amp; Outputs'!B$19),1,0)</f>
        <v>1</v>
      </c>
      <c r="J26" s="71">
        <f>I26*'Inputs &amp; Outputs'!B$16*'Benefit Calculations'!G26*('Benefit Calculations'!C$4-'Benefit Calculations'!C$5)</f>
        <v>14.360129485386143</v>
      </c>
      <c r="K26" s="89">
        <f t="shared" si="3"/>
        <v>4.1156299782628405E-3</v>
      </c>
      <c r="L26" s="72">
        <f>K26*'Assumed Values'!$C$8</f>
        <v>30.900149876797407</v>
      </c>
      <c r="M26" s="73">
        <f t="shared" si="0"/>
        <v>6.974570633209078</v>
      </c>
      <c r="N26" s="88">
        <f>I26*'Inputs &amp; Outputs'!B$16*'Benefit Calculations'!G26*('Benefit Calculations'!D$4-'Benefit Calculations'!D$5)</f>
        <v>9.9130084444087014</v>
      </c>
      <c r="O26" s="89">
        <f t="shared" si="4"/>
        <v>2.8410798642240849E-3</v>
      </c>
      <c r="P26" s="72">
        <f>ABS(O26*'Assumed Values'!$C$7)</f>
        <v>5.4122571413468821</v>
      </c>
      <c r="Q26" s="73">
        <f t="shared" si="1"/>
        <v>1.2216176901380913</v>
      </c>
      <c r="T26" s="85">
        <f t="shared" si="5"/>
        <v>3.733633666200397E-3</v>
      </c>
      <c r="U26" s="86">
        <f>T26*'Assumed Values'!$D$8</f>
        <v>0</v>
      </c>
    </row>
    <row r="27" spans="2:21" x14ac:dyDescent="0.25">
      <c r="F27" s="70">
        <f t="shared" si="2"/>
        <v>2041</v>
      </c>
      <c r="G27" s="80">
        <f t="shared" si="6"/>
        <v>13457.923061783769</v>
      </c>
      <c r="H27" s="79">
        <f t="shared" si="8"/>
        <v>5.6900072111680799E-3</v>
      </c>
      <c r="I27" s="70">
        <f>IF(AND(F27&gt;='Inputs &amp; Outputs'!B$13,F27&lt;'Inputs &amp; Outputs'!B$13+'Inputs &amp; Outputs'!B$19),1,0)</f>
        <v>0</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13534.498741052665</v>
      </c>
      <c r="H28" s="79">
        <f t="shared" si="8"/>
        <v>5.6900072111680799E-3</v>
      </c>
      <c r="I28" s="70">
        <f>IF(AND(F28&gt;='Inputs &amp; Outputs'!B$13,F28&lt;'Inputs &amp; Outputs'!B$13+'Inputs &amp; Outputs'!B$19),1,0)</f>
        <v>0</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13611.5101364888</v>
      </c>
      <c r="H29" s="79">
        <f t="shared" si="8"/>
        <v>5.6900072111680799E-3</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13688.959727320309</v>
      </c>
      <c r="H30" s="79">
        <f t="shared" si="8"/>
        <v>5.6900072111680799E-3</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14163</v>
      </c>
      <c r="H31" s="79">
        <f t="shared" si="8"/>
        <v>5.6900072111680799E-3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14243.587572131773</v>
      </c>
      <c r="H32" s="79">
        <f t="shared" si="8"/>
        <v>5.6900072111680799E-3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14324.633688130107</v>
      </c>
      <c r="H33" s="79">
        <f t="shared" si="8"/>
        <v>5.6900072111680799E-3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14406.140957112908</v>
      </c>
      <c r="H34" s="79">
        <f t="shared" si="8"/>
        <v>5.6900072111680799E-3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14488.112003043983</v>
      </c>
      <c r="H35" s="79">
        <f t="shared" si="8"/>
        <v>5.6900072111680799E-3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14570.549464817514</v>
      </c>
      <c r="H36" s="79">
        <f t="shared" si="8"/>
        <v>5.6900072111680799E-3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274.85370645683247</v>
      </c>
      <c r="K37" s="71">
        <f t="shared" ref="K37:Q37" si="9">SUM(K4:K36)</f>
        <v>7.8773395120258327E-2</v>
      </c>
      <c r="L37" s="74">
        <f t="shared" si="9"/>
        <v>591.43065056289947</v>
      </c>
      <c r="M37" s="75">
        <f t="shared" si="9"/>
        <v>271.95770095690182</v>
      </c>
      <c r="N37" s="88">
        <f t="shared" si="9"/>
        <v>189.73555328009948</v>
      </c>
      <c r="O37" s="88">
        <f t="shared" si="9"/>
        <v>5.4378432437990384E-2</v>
      </c>
      <c r="P37" s="76">
        <f t="shared" si="9"/>
        <v>103.5909137943717</v>
      </c>
      <c r="Q37" s="75">
        <f t="shared" si="9"/>
        <v>47.634235271250539</v>
      </c>
      <c r="T37" s="85">
        <f>SUM(T4:T36)</f>
        <v>7.1461963678776441E-2</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Matthew.Johnson</cp:lastModifiedBy>
  <cp:lastPrinted>2018-04-10T17:15:43Z</cp:lastPrinted>
  <dcterms:created xsi:type="dcterms:W3CDTF">2012-07-25T15:48:32Z</dcterms:created>
  <dcterms:modified xsi:type="dcterms:W3CDTF">2018-10-31T17:52:52Z</dcterms:modified>
</cp:coreProperties>
</file>