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3_HW_IH10/"/>
    </mc:Choice>
  </mc:AlternateContent>
  <xr:revisionPtr revIDLastSave="8" documentId="8_{650143B7-D9CC-42EB-B1FB-3EFF262DF81D}" xr6:coauthVersionLast="40" xr6:coauthVersionMax="40" xr10:uidLastSave="{CF060022-D3ED-4A1F-8162-B8B27EFF9039}"/>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<sst xmlns="http://schemas.openxmlformats.org/spreadsheetml/2006/main" count="263" uniqueCount="131">
  <si>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</si>
  <si>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</si>
  <si>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</si>
  <si>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</si>
  <si>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</si>
  <si>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</si>
  <si>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</si>
  <si>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</si>
  <si>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</si>
  <si>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</si>
  <si>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</si>
  <si>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</si>
  <si>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</si>
  <si>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</si>
  <si>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</si>
  <si>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</si>
  <si>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</si>
  <si>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</si>
  <si>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</si>
  <si>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</si>
  <si>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</si>
  <si>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</si>
  <si>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</si>
  <si>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</si>
  <si>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</si>
  <si>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</si>
  <si>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</si>
  <si>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</si>
  <si>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</si>
  <si>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</si>
  <si>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</si>
  <si>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</si>
  <si>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</si>
  <si>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</si>
  <si>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</si>
  <si>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</si>
  <si>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</si>
  <si>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</si>
  <si>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</si>
  <si>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</si>
  <si>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</si>
  <si>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</si>
  <si>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</si>
  <si>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</si>
  <si>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</si>
  <si>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</si>
  <si>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</si>
  <si>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10/SS 330 Ramp Reversal</t>
  </si>
  <si>
    <t>Data entered by the sponsors</t>
  </si>
  <si>
    <t>Application ID Number:</t>
  </si>
  <si>
    <t>Data populated/calculated based on inputs</t>
  </si>
  <si>
    <t>Sponsor ID Number (CSJ, etc.):</t>
  </si>
  <si>
    <t>0508-01-345</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</si>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</sst>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3" fontId="10" fillId="16" borderId="1" xfId="0" applyNumberFormat="1" applyFon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4" zoomScaleNormal="100" workbookViewId="0" xr3:uid="{51F8DEE0-4D01-5F28-A812-FC0BD7CAC4A5}">
      <selection activeCell="B24" sqref="B24"/>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2022</v>
      </c>
    </row>
    <row r="14" spans="1:5">
      <c r="A14" s="5" t="s">
        <v>59</v>
      </c>
      <c r="B14" s="5" t="s">
        <v>60</v>
      </c>
    </row>
    <row r="15" spans="1:5">
      <c r="A15" s="85" t="s">
        <v>61</v>
      </c>
      <c r="B15" s="8" t="s">
        <v>62</v>
      </c>
    </row>
    <row r="16" spans="1:5">
      <c r="A16" s="85" t="s">
        <v>63</v>
      </c>
      <c r="B16" s="8">
        <v>0.83</v>
      </c>
    </row>
    <row r="17" spans="1:2">
      <c r="A17" s="86" t="s">
        <v>64</v>
      </c>
      <c r="B17" s="8">
        <v>57</v>
      </c>
    </row>
    <row r="18" spans="1:2">
      <c r="A18" s="86" t="s">
        <v>65</v>
      </c>
      <c r="B18" s="8">
        <v>51</v>
      </c>
    </row>
    <row r="19" spans="1:2">
      <c r="A19" s="76" t="s">
        <v>66</v>
      </c>
      <c r="B19" s="77">
        <f>VLOOKUP(B14,'Service Life'!C6:D8,2,FALSE)</f>
        <v>20</v>
      </c>
    </row>
    <row r="21" spans="1:2">
      <c r="A21" s="81" t="s">
        <v>67</v>
      </c>
    </row>
    <row r="22" spans="1:2" ht="20.25" customHeight="1">
      <c r="A22" s="86" t="s">
        <v>68</v>
      </c>
      <c r="B22" s="96">
        <v>44940</v>
      </c>
    </row>
    <row r="23" spans="1:2" ht="28.9">
      <c r="A23" s="94" t="s">
        <v>69</v>
      </c>
      <c r="B23" s="95">
        <v>56331</v>
      </c>
    </row>
    <row r="24" spans="1:2" ht="28.9">
      <c r="A24" s="94" t="s">
        <v>70</v>
      </c>
      <c r="B24" s="95">
        <v>83884</v>
      </c>
    </row>
    <row r="27" spans="1:2" ht="18">
      <c r="A27" s="79" t="s">
        <v>71</v>
      </c>
      <c r="B27" s="80"/>
    </row>
    <row r="29" spans="1:2">
      <c r="A29" s="87" t="s">
        <v>72</v>
      </c>
    </row>
    <row r="30" spans="1:2">
      <c r="A30" s="84" t="s">
        <v>73</v>
      </c>
      <c r="B30" s="35">
        <f>'Benefit Calculations'!M37</f>
        <v>424.64284929056072</v>
      </c>
    </row>
    <row r="31" spans="1:2">
      <c r="A31" s="84" t="s">
        <v>74</v>
      </c>
      <c r="B31" s="35">
        <f>'Benefit Calculations'!Q37</f>
        <v>45.836432259019759</v>
      </c>
    </row>
    <row r="32" spans="1:2">
      <c r="B32" s="88"/>
    </row>
    <row r="33" spans="1:9">
      <c r="A33" s="87" t="s">
        <v>75</v>
      </c>
      <c r="B33" s="88"/>
    </row>
    <row r="34" spans="1:9">
      <c r="A34" s="84" t="s">
        <v>76</v>
      </c>
      <c r="B34" s="35">
        <f>$B$30+$B$31</f>
        <v>470.47928154958049</v>
      </c>
    </row>
    <row r="35" spans="1:9">
      <c r="I35" s="89"/>
    </row>
    <row r="36" spans="1:9">
      <c r="A36" s="87" t="s">
        <v>77</v>
      </c>
    </row>
    <row r="37" spans="1:9">
      <c r="A37" s="84" t="s">
        <v>78</v>
      </c>
      <c r="B37" s="91">
        <f>'Benefit Calculations'!K37</f>
        <v>0.13589949200004942</v>
      </c>
    </row>
    <row r="38" spans="1:9">
      <c r="A38" s="84" t="s">
        <v>79</v>
      </c>
      <c r="B38" s="91">
        <f>'Benefit Calculations'!O37</f>
        <v>-5.7814145138195848E-2</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6.1163198202800001E-2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1.0565499775100001E-2</v>
      </c>
      <c r="F4" s="54">
        <v>2018</v>
      </c>
      <c r="G4" s="63">
        <f>'Inputs &amp; Outputs'!B22</f>
        <v>44940</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6.0706000775100001E-2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1.0759999975599999E-2</v>
      </c>
      <c r="F5" s="54">
        <f t="shared" ref="F5:F36" si="2">F4+1</f>
        <v>2019</v>
      </c>
      <c r="G5" s="63">
        <f>G4+G4*H5</f>
        <v>46414.044032305792</v>
      </c>
      <c r="H5" s="62">
        <f>$C$9</f>
        <v>3.2800267741561973E-2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47936.437103534066</v>
      </c>
      <c r="H6" s="62">
        <f t="shared" ref="H6:H11" si="7">$C$9</f>
        <v>3.2800267741561973E-2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49508.76507510653</v>
      </c>
      <c r="H7" s="62">
        <f t="shared" si="7"/>
        <v>3.2800267741561973E-2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51132.665825124117</v>
      </c>
      <c r="H8" s="62">
        <f t="shared" si="7"/>
        <v>3.2800267741561973E-2</v>
      </c>
      <c r="I8" s="54">
        <f>IF(AND(F8&gt;='Inputs &amp; Outputs'!B$13,F8&lt;'Inputs &amp; Outputs'!B$13+'Inputs &amp; Outputs'!B$19),1,0)</f>
        <v>1</v>
      </c>
      <c r="J8" s="55">
        <f>I8*'Inputs &amp; Outputs'!B$16*'Benefit Calculations'!G8*('Benefit Calculations'!C$4-'Benefit Calculations'!C$5)</f>
        <v>19.403510327953065</v>
      </c>
      <c r="K8" s="71">
        <f t="shared" si="3"/>
        <v>5.5610688518181496E-3</v>
      </c>
      <c r="L8" s="56">
        <f>K8*'Assumed Values'!$C$8</f>
        <v>41.752504939450667</v>
      </c>
      <c r="M8" s="57">
        <f t="shared" si="0"/>
        <v>31.852786109297561</v>
      </c>
      <c r="N8" s="55">
        <f>I8*'Inputs &amp; Outputs'!B$16*'Benefit Calculations'!G8*('Benefit Calculations'!D$4-'Benefit Calculations'!D$5)</f>
        <v>-8.2546104167214427</v>
      </c>
      <c r="O8" s="71">
        <f t="shared" si="4"/>
        <v>-2.3657810414949728E-3</v>
      </c>
      <c r="P8" s="56">
        <f>ABS(O8*'Assumed Values'!$C$7)</f>
        <v>4.5068128840479229</v>
      </c>
      <c r="Q8" s="57">
        <f t="shared" si="1"/>
        <v>3.4382259708342588</v>
      </c>
      <c r="T8" s="68">
        <f t="shared" si="5"/>
        <v>5.044912685267796E-3</v>
      </c>
      <c r="U8" s="69">
        <f>T8*'Assumed Values'!$D$8</f>
        <v>0</v>
      </c>
    </row>
    <row r="9" spans="2:21">
      <c r="B9" s="15" t="s">
        <v>98</v>
      </c>
      <c r="C9" s="53">
        <f>('Inputs &amp; Outputs'!B23/'Inputs &amp; Outputs'!B22)^(1/(2025-2018))-1</f>
        <v>3.2800267741561973E-2</v>
      </c>
      <c r="F9" s="54">
        <f t="shared" si="2"/>
        <v>2023</v>
      </c>
      <c r="G9" s="63">
        <f t="shared" si="6"/>
        <v>52809.830954528006</v>
      </c>
      <c r="H9" s="62">
        <f t="shared" si="7"/>
        <v>3.2800267741561973E-2</v>
      </c>
      <c r="I9" s="54">
        <f>IF(AND(F9&gt;='Inputs &amp; Outputs'!B$13,F9&lt;'Inputs &amp; Outputs'!B$13+'Inputs &amp; Outputs'!B$19),1,0)</f>
        <v>1</v>
      </c>
      <c r="J9" s="55">
        <f>I9*'Inputs &amp; Outputs'!B$16*'Benefit Calculations'!G9*('Benefit Calculations'!C$4-'Benefit Calculations'!C$5)</f>
        <v>20.039950661836087</v>
      </c>
      <c r="K9" s="71">
        <f t="shared" si="3"/>
        <v>5.7434733990870453E-3</v>
      </c>
      <c r="L9" s="56">
        <f>K9*'Assumed Values'!$C$8</f>
        <v>43.121998280345537</v>
      </c>
      <c r="M9" s="57">
        <f t="shared" si="0"/>
        <v>30.745388805604883</v>
      </c>
      <c r="N9" s="55">
        <f>I9*'Inputs &amp; Outputs'!B$16*'Benefit Calculations'!G9*('Benefit Calculations'!D$4-'Benefit Calculations'!D$5)</f>
        <v>-8.5253638484921943</v>
      </c>
      <c r="O9" s="71">
        <f t="shared" si="4"/>
        <v>-2.4433792930739196E-3</v>
      </c>
      <c r="P9" s="56">
        <f>ABS(O9*'Assumed Values'!$C$7)</f>
        <v>4.6546375533058164</v>
      </c>
      <c r="Q9" s="57">
        <f t="shared" si="1"/>
        <v>3.3186922460127239</v>
      </c>
      <c r="T9" s="68">
        <f t="shared" si="5"/>
        <v>5.2103871720773822E-3</v>
      </c>
      <c r="U9" s="69">
        <f>T9*'Assumed Values'!$D$8</f>
        <v>0</v>
      </c>
    </row>
    <row r="10" spans="2:21">
      <c r="B10" s="15" t="s">
        <v>99</v>
      </c>
      <c r="C10" s="53">
        <f>('Inputs &amp; Outputs'!B24/'Inputs &amp; Outputs'!B23)^(1/(2045-2020))-1</f>
        <v>1.6055115751258064E-2</v>
      </c>
      <c r="F10" s="54">
        <f t="shared" si="2"/>
        <v>2024</v>
      </c>
      <c r="G10" s="63">
        <f t="shared" si="6"/>
        <v>54542.007549223155</v>
      </c>
      <c r="H10" s="62">
        <f t="shared" si="7"/>
        <v>3.2800267741561973E-2</v>
      </c>
      <c r="I10" s="54">
        <f>IF(AND(F10&gt;='Inputs &amp; Outputs'!B$13,F10&lt;'Inputs &amp; Outputs'!B$13+'Inputs &amp; Outputs'!B$19),1,0)</f>
        <v>1</v>
      </c>
      <c r="J10" s="55">
        <f>I10*'Inputs &amp; Outputs'!B$16*'Benefit Calculations'!G10*('Benefit Calculations'!C$4-'Benefit Calculations'!C$5)</f>
        <v>20.697266409072007</v>
      </c>
      <c r="K10" s="71">
        <f t="shared" si="3"/>
        <v>5.9318608643436415E-3</v>
      </c>
      <c r="L10" s="56">
        <f>K10*'Assumed Values'!$C$8</f>
        <v>44.536411369492058</v>
      </c>
      <c r="M10" s="57">
        <f t="shared" si="0"/>
        <v>29.67649139275435</v>
      </c>
      <c r="N10" s="55">
        <f>I10*'Inputs &amp; Outputs'!B$16*'Benefit Calculations'!G10*('Benefit Calculations'!D$4-'Benefit Calculations'!D$5)</f>
        <v>-8.8049980653169708</v>
      </c>
      <c r="O10" s="71">
        <f t="shared" si="4"/>
        <v>-2.5235227880809324E-3</v>
      </c>
      <c r="P10" s="56">
        <f>ABS(O10*'Assumed Values'!$C$7)</f>
        <v>4.8073109112941763</v>
      </c>
      <c r="Q10" s="57">
        <f t="shared" si="1"/>
        <v>3.2033142432091468</v>
      </c>
      <c r="T10" s="68">
        <f t="shared" si="5"/>
        <v>5.3812892663587216E-3</v>
      </c>
      <c r="U10" s="69">
        <f>T10*'Assumed Values'!$D$8</f>
        <v>0</v>
      </c>
    </row>
    <row r="11" spans="2:21">
      <c r="B11" s="15" t="s">
        <v>100</v>
      </c>
      <c r="C11" s="53">
        <f>('Inputs &amp; Outputs'!B24/'Inputs &amp; Outputs'!B22)^(1/(2045-2018))-1</f>
        <v>2.3384283570259567E-2</v>
      </c>
      <c r="F11" s="54">
        <f t="shared" si="2"/>
        <v>2025</v>
      </c>
      <c r="G11" s="63">
        <f>'Inputs &amp; Outputs'!$B$23</f>
        <v>56331</v>
      </c>
      <c r="H11" s="62">
        <f t="shared" si="7"/>
        <v>3.2800267741561973E-2</v>
      </c>
      <c r="I11" s="54">
        <f>IF(AND(F11&gt;='Inputs &amp; Outputs'!B$13,F11&lt;'Inputs &amp; Outputs'!B$13+'Inputs &amp; Outputs'!B$19),1,0)</f>
        <v>1</v>
      </c>
      <c r="J11" s="55">
        <f>I11*'Inputs &amp; Outputs'!B$16*'Benefit Calculations'!G11*('Benefit Calculations'!C$4-'Benefit Calculations'!C$5)</f>
        <v>21.376142288808012</v>
      </c>
      <c r="K11" s="71">
        <f t="shared" si="3"/>
        <v>6.1264274888998081E-3</v>
      </c>
      <c r="L11" s="56">
        <f>K11*'Assumed Values'!$C$8</f>
        <v>45.997217586659758</v>
      </c>
      <c r="M11" s="57">
        <f t="shared" si="0"/>
        <v>28.644755379501738</v>
      </c>
      <c r="N11" s="55">
        <f>I11*'Inputs &amp; Outputs'!B$16*'Benefit Calculations'!G11*('Benefit Calculations'!D$4-'Benefit Calculations'!D$5)</f>
        <v>-9.0938043593233076</v>
      </c>
      <c r="O11" s="71">
        <f t="shared" si="4"/>
        <v>-2.6062950111819211E-3</v>
      </c>
      <c r="P11" s="56">
        <f>ABS(O11*'Assumed Values'!$C$7)</f>
        <v>4.9649919963015599</v>
      </c>
      <c r="Q11" s="57">
        <f t="shared" si="1"/>
        <v>3.091947484155857</v>
      </c>
      <c r="T11" s="68">
        <f t="shared" si="5"/>
        <v>5.5577969950900835E-3</v>
      </c>
      <c r="U11" s="69">
        <f>T11*'Assumed Values'!$D$8</f>
        <v>0</v>
      </c>
    </row>
    <row r="12" spans="2:21">
      <c r="C12" s="38"/>
      <c r="F12" s="54">
        <f t="shared" si="2"/>
        <v>2026</v>
      </c>
      <c r="G12" s="63">
        <f t="shared" si="6"/>
        <v>57235.400725384119</v>
      </c>
      <c r="H12" s="62">
        <f>$C$10</f>
        <v>1.6055115751258064E-2</v>
      </c>
      <c r="I12" s="54">
        <f>IF(AND(F12&gt;='Inputs &amp; Outputs'!B$13,F12&lt;'Inputs &amp; Outputs'!B$13+'Inputs &amp; Outputs'!B$19),1,0)</f>
        <v>1</v>
      </c>
      <c r="J12" s="55">
        <f>I12*'Inputs &amp; Outputs'!B$16*'Benefit Calculations'!G12*('Benefit Calculations'!C$4-'Benefit Calculations'!C$5)</f>
        <v>21.719338727570189</v>
      </c>
      <c r="K12" s="71">
        <f t="shared" si="3"/>
        <v>6.2247879913757843E-3</v>
      </c>
      <c r="L12" s="56">
        <f>K12*'Assumed Values'!$C$8</f>
        <v>46.735708239249391</v>
      </c>
      <c r="M12" s="57">
        <f t="shared" si="0"/>
        <v>27.200607703538427</v>
      </c>
      <c r="N12" s="55">
        <f>I12*'Inputs &amp; Outputs'!B$16*'Benefit Calculations'!G12*('Benefit Calculations'!D$4-'Benefit Calculations'!D$5)</f>
        <v>-9.2398064409315381</v>
      </c>
      <c r="O12" s="71">
        <f t="shared" si="4"/>
        <v>-2.6481393792683731E-3</v>
      </c>
      <c r="P12" s="56">
        <f>ABS(O12*'Assumed Values'!$C$7)</f>
        <v>5.0447055175062507</v>
      </c>
      <c r="Q12" s="57">
        <f t="shared" si="1"/>
        <v>2.9360645410381219</v>
      </c>
      <c r="T12" s="68">
        <f t="shared" si="5"/>
        <v>5.6470280691682494E-3</v>
      </c>
      <c r="U12" s="69">
        <f>T12*'Assumed Values'!$D$8</f>
        <v>0</v>
      </c>
    </row>
    <row r="13" spans="2:21">
      <c r="C13" s="38"/>
      <c r="F13" s="54">
        <f t="shared" si="2"/>
        <v>2027</v>
      </c>
      <c r="G13" s="63">
        <f t="shared" si="6"/>
        <v>58154.321709099801</v>
      </c>
      <c r="H13" s="62">
        <f t="shared" ref="H13:H36" si="8">$C$10</f>
        <v>1.6055115751258064E-2</v>
      </c>
      <c r="I13" s="54">
        <f>IF(AND(F13&gt;='Inputs &amp; Outputs'!B$13,F13&lt;'Inputs &amp; Outputs'!B$13+'Inputs &amp; Outputs'!B$19),1,0)</f>
        <v>1</v>
      </c>
      <c r="J13" s="55">
        <f>I13*'Inputs &amp; Outputs'!B$16*'Benefit Calculations'!G13*('Benefit Calculations'!C$4-'Benefit Calculations'!C$5)</f>
        <v>22.068045224882113</v>
      </c>
      <c r="K13" s="71">
        <f t="shared" si="3"/>
        <v>6.3247276831043635E-3</v>
      </c>
      <c r="L13" s="56">
        <f>K13*'Assumed Values'!$C$8</f>
        <v>47.486055444747564</v>
      </c>
      <c r="M13" s="57">
        <f t="shared" si="0"/>
        <v>25.8292678586199</v>
      </c>
      <c r="N13" s="55">
        <f>I13*'Inputs &amp; Outputs'!B$16*'Benefit Calculations'!G13*('Benefit Calculations'!D$4-'Benefit Calculations'!D$5)</f>
        <v>-9.3881526028599147</v>
      </c>
      <c r="O13" s="71">
        <f t="shared" si="4"/>
        <v>-2.6906555635279918E-3</v>
      </c>
      <c r="P13" s="56">
        <f>ABS(O13*'Assumed Values'!$C$7)</f>
        <v>5.1256988485208241</v>
      </c>
      <c r="Q13" s="57">
        <f t="shared" si="1"/>
        <v>2.7880405580351897</v>
      </c>
      <c r="T13" s="68">
        <f t="shared" si="5"/>
        <v>5.7376917584693495E-3</v>
      </c>
      <c r="U13" s="69">
        <f>T13*'Assumed Values'!$D$8</f>
        <v>0</v>
      </c>
    </row>
    <row r="14" spans="2:21">
      <c r="C14" s="38"/>
      <c r="F14" s="54">
        <f t="shared" si="2"/>
        <v>2028</v>
      </c>
      <c r="G14" s="63">
        <f t="shared" si="6"/>
        <v>59087.996075575298</v>
      </c>
      <c r="H14" s="62">
        <f t="shared" si="8"/>
        <v>1.6055115751258064E-2</v>
      </c>
      <c r="I14" s="54">
        <f>IF(AND(F14&gt;='Inputs &amp; Outputs'!B$13,F14&lt;'Inputs &amp; Outputs'!B$13+'Inputs &amp; Outputs'!B$19),1,0)</f>
        <v>1</v>
      </c>
      <c r="J14" s="55">
        <f>I14*'Inputs &amp; Outputs'!B$16*'Benefit Calculations'!G14*('Benefit Calculations'!C$4-'Benefit Calculations'!C$5)</f>
        <v>22.422350245371593</v>
      </c>
      <c r="K14" s="71">
        <f t="shared" si="3"/>
        <v>6.4262719181517915E-3</v>
      </c>
      <c r="L14" s="56">
        <f>K14*'Assumed Values'!$C$8</f>
        <v>48.248449561483653</v>
      </c>
      <c r="M14" s="57">
        <f t="shared" si="0"/>
        <v>24.52706518117785</v>
      </c>
      <c r="N14" s="55">
        <f>I14*'Inputs &amp; Outputs'!B$16*'Benefit Calculations'!G14*('Benefit Calculations'!D$4-'Benefit Calculations'!D$5)</f>
        <v>-9.5388804795893058</v>
      </c>
      <c r="O14" s="71">
        <f t="shared" si="4"/>
        <v>-2.7338543500472004E-3</v>
      </c>
      <c r="P14" s="56">
        <f>ABS(O14*'Assumed Values'!$C$7)</f>
        <v>5.2079925368399165</v>
      </c>
      <c r="Q14" s="57">
        <f t="shared" si="1"/>
        <v>2.6474793195454649</v>
      </c>
      <c r="T14" s="68">
        <f t="shared" si="5"/>
        <v>5.8298110637966137E-3</v>
      </c>
      <c r="U14" s="69">
        <f>T14*'Assumed Values'!$D$8</f>
        <v>0</v>
      </c>
    </row>
    <row r="15" spans="2:21">
      <c r="C15" s="1"/>
      <c r="F15" s="54">
        <f t="shared" si="2"/>
        <v>2029</v>
      </c>
      <c r="G15" s="63">
        <f t="shared" si="6"/>
        <v>60036.660692078542</v>
      </c>
      <c r="H15" s="62">
        <f t="shared" si="8"/>
        <v>1.6055115751258064E-2</v>
      </c>
      <c r="I15" s="54">
        <f>IF(AND(F15&gt;='Inputs &amp; Outputs'!B$13,F15&lt;'Inputs &amp; Outputs'!B$13+'Inputs &amp; Outputs'!B$19),1,0)</f>
        <v>1</v>
      </c>
      <c r="J15" s="55">
        <f>I15*'Inputs &amp; Outputs'!B$16*'Benefit Calculations'!G15*('Benefit Calculations'!C$4-'Benefit Calculations'!C$5)</f>
        <v>22.782343673976282</v>
      </c>
      <c r="K15" s="71">
        <f t="shared" si="3"/>
        <v>6.5294464576467768E-3</v>
      </c>
      <c r="L15" s="56">
        <f>K15*'Assumed Values'!$C$8</f>
        <v>49.023084004011999</v>
      </c>
      <c r="M15" s="57">
        <f t="shared" si="0"/>
        <v>23.290514067009628</v>
      </c>
      <c r="N15" s="55">
        <f>I15*'Inputs &amp; Outputs'!B$16*'Benefit Calculations'!G15*('Benefit Calculations'!D$4-'Benefit Calculations'!D$5)</f>
        <v>-9.6920283098265276</v>
      </c>
      <c r="O15" s="71">
        <f t="shared" si="4"/>
        <v>-2.7777466980842885E-3</v>
      </c>
      <c r="P15" s="56">
        <f>ABS(O15*'Assumed Values'!$C$7)</f>
        <v>5.29160745985057</v>
      </c>
      <c r="Q15" s="57">
        <f t="shared" si="1"/>
        <v>2.5140045854858215</v>
      </c>
      <c r="T15" s="68">
        <f t="shared" si="5"/>
        <v>5.9234093552338338E-3</v>
      </c>
      <c r="U15" s="69">
        <f>T15*'Assumed Values'!$D$8</f>
        <v>0</v>
      </c>
    </row>
    <row r="16" spans="2:21">
      <c r="C16" s="1"/>
      <c r="F16" s="54">
        <f t="shared" si="2"/>
        <v>2030</v>
      </c>
      <c r="G16" s="63">
        <f t="shared" si="6"/>
        <v>61000.556228808869</v>
      </c>
      <c r="H16" s="62">
        <f t="shared" si="8"/>
        <v>1.6055115751258064E-2</v>
      </c>
      <c r="I16" s="54">
        <f>IF(AND(F16&gt;='Inputs &amp; Outputs'!B$13,F16&lt;'Inputs &amp; Outputs'!B$13+'Inputs &amp; Outputs'!B$19),1,0)</f>
        <v>1</v>
      </c>
      <c r="J16" s="55">
        <f>I16*'Inputs &amp; Outputs'!B$16*'Benefit Calculations'!G16*('Benefit Calculations'!C$4-'Benefit Calculations'!C$5)</f>
        <v>23.148116838746915</v>
      </c>
      <c r="K16" s="71">
        <f t="shared" si="3"/>
        <v>6.6342774763159381E-3</v>
      </c>
      <c r="L16" s="56">
        <f>K16*'Assumed Values'!$C$8</f>
        <v>49.810155292180063</v>
      </c>
      <c r="M16" s="57">
        <f t="shared" si="0"/>
        <v>22.116304641366149</v>
      </c>
      <c r="N16" s="55">
        <f>I16*'Inputs &amp; Outputs'!B$16*'Benefit Calculations'!G16*('Benefit Calculations'!D$4-'Benefit Calculations'!D$5)</f>
        <v>-9.8476349462052628</v>
      </c>
      <c r="O16" s="71">
        <f t="shared" si="4"/>
        <v>-2.8223437428497064E-3</v>
      </c>
      <c r="P16" s="56">
        <f>ABS(O16*'Assumed Values'!$C$7)</f>
        <v>5.3765648301286904</v>
      </c>
      <c r="Q16" s="57">
        <f t="shared" si="1"/>
        <v>2.387259084210271</v>
      </c>
      <c r="T16" s="68">
        <f t="shared" si="5"/>
        <v>6.0185103780741982E-3</v>
      </c>
      <c r="U16" s="69">
        <f>T16*'Assumed Values'!$D$8</f>
        <v>0</v>
      </c>
    </row>
    <row r="17" spans="3:21">
      <c r="C17" s="1"/>
      <c r="F17" s="54">
        <f t="shared" si="2"/>
        <v>2031</v>
      </c>
      <c r="G17" s="63">
        <f t="shared" si="6"/>
        <v>61979.927219953519</v>
      </c>
      <c r="H17" s="62">
        <f t="shared" si="8"/>
        <v>1.6055115751258064E-2</v>
      </c>
      <c r="I17" s="54">
        <f>IF(AND(F17&gt;='Inputs &amp; Outputs'!B$13,F17&lt;'Inputs &amp; Outputs'!B$13+'Inputs &amp; Outputs'!B$19),1,0)</f>
        <v>1</v>
      </c>
      <c r="J17" s="55">
        <f>I17*'Inputs &amp; Outputs'!B$16*'Benefit Calculations'!G17*('Benefit Calculations'!C$4-'Benefit Calculations'!C$5)</f>
        <v>23.519762534016639</v>
      </c>
      <c r="K17" s="71">
        <f t="shared" si="3"/>
        <v>6.7407915691241535E-3</v>
      </c>
      <c r="L17" s="56">
        <f>K17*'Assumed Values'!$C$8</f>
        <v>50.609863100984143</v>
      </c>
      <c r="M17" s="57">
        <f t="shared" si="0"/>
        <v>21.001293899414357</v>
      </c>
      <c r="N17" s="55">
        <f>I17*'Inputs &amp; Outputs'!B$16*'Benefit Calculations'!G17*('Benefit Calculations'!D$4-'Benefit Calculations'!D$5)</f>
        <v>-10.00573986514272</v>
      </c>
      <c r="O17" s="71">
        <f t="shared" si="4"/>
        <v>-2.8676567983309969E-3</v>
      </c>
      <c r="P17" s="56">
        <f>ABS(O17*'Assumed Values'!$C$7)</f>
        <v>5.4628862008205488</v>
      </c>
      <c r="Q17" s="57">
        <f t="shared" si="1"/>
        <v>2.2669035562014099</v>
      </c>
      <c r="T17" s="68">
        <f t="shared" si="5"/>
        <v>6.1151382588443253E-3</v>
      </c>
      <c r="U17" s="69">
        <f>T17*'Assumed Values'!$D$8</f>
        <v>0</v>
      </c>
    </row>
    <row r="18" spans="3:21">
      <c r="F18" s="54">
        <f t="shared" si="2"/>
        <v>2032</v>
      </c>
      <c r="G18" s="63">
        <f t="shared" si="6"/>
        <v>62975.022125724427</v>
      </c>
      <c r="H18" s="62">
        <f t="shared" si="8"/>
        <v>1.6055115751258064E-2</v>
      </c>
      <c r="I18" s="54">
        <f>IF(AND(F18&gt;='Inputs &amp; Outputs'!B$13,F18&lt;'Inputs &amp; Outputs'!B$13+'Inputs &amp; Outputs'!B$19),1,0)</f>
        <v>1</v>
      </c>
      <c r="J18" s="55">
        <f>I18*'Inputs &amp; Outputs'!B$16*'Benefit Calculations'!G18*('Benefit Calculations'!C$4-'Benefit Calculations'!C$5)</f>
        <v>23.897375043942382</v>
      </c>
      <c r="K18" s="71">
        <f t="shared" si="3"/>
        <v>6.8490157580215474E-3</v>
      </c>
      <c r="L18" s="56">
        <f>K18*'Assumed Values'!$C$8</f>
        <v>51.422410311225775</v>
      </c>
      <c r="M18" s="57">
        <f t="shared" si="0"/>
        <v>19.942497293360418</v>
      </c>
      <c r="N18" s="55">
        <f>I18*'Inputs &amp; Outputs'!B$16*'Benefit Calculations'!G18*('Benefit Calculations'!D$4-'Benefit Calculations'!D$5)</f>
        <v>-10.166383176854566</v>
      </c>
      <c r="O18" s="71">
        <f t="shared" si="4"/>
        <v>-2.9136973601630841E-3</v>
      </c>
      <c r="P18" s="56">
        <f>ABS(O18*'Assumed Values'!$C$7)</f>
        <v>5.550593471110675</v>
      </c>
      <c r="Q18" s="57">
        <f t="shared" si="1"/>
        <v>2.1526158459749185</v>
      </c>
      <c r="T18" s="68">
        <f t="shared" si="5"/>
        <v>6.2133175114250198E-3</v>
      </c>
      <c r="U18" s="69">
        <f>T18*'Assumed Values'!$D$8</f>
        <v>0</v>
      </c>
    </row>
    <row r="19" spans="3:21">
      <c r="F19" s="54">
        <f t="shared" si="2"/>
        <v>2033</v>
      </c>
      <c r="G19" s="63">
        <f t="shared" si="6"/>
        <v>63986.09339539097</v>
      </c>
      <c r="H19" s="62">
        <f t="shared" si="8"/>
        <v>1.6055115751258064E-2</v>
      </c>
      <c r="I19" s="54">
        <f>IF(AND(F19&gt;='Inputs &amp; Outputs'!B$13,F19&lt;'Inputs &amp; Outputs'!B$13+'Inputs &amp; Outputs'!B$19),1,0)</f>
        <v>1</v>
      </c>
      <c r="J19" s="55">
        <f>I19*'Inputs &amp; Outputs'!B$16*'Benefit Calculations'!G19*('Benefit Calculations'!C$4-'Benefit Calculations'!C$5)</f>
        <v>24.281050166424102</v>
      </c>
      <c r="K19" s="71">
        <f t="shared" si="3"/>
        <v>6.958977498798773E-3</v>
      </c>
      <c r="L19" s="56">
        <f>K19*'Assumed Values'!$C$8</f>
        <v>52.248003060981191</v>
      </c>
      <c r="M19" s="57">
        <f t="shared" si="0"/>
        <v>18.937080743714457</v>
      </c>
      <c r="N19" s="55">
        <f>I19*'Inputs &amp; Outputs'!B$16*'Benefit Calculations'!G19*('Benefit Calculations'!D$4-'Benefit Calculations'!D$5)</f>
        <v>-10.329605635530609</v>
      </c>
      <c r="O19" s="71">
        <f t="shared" si="4"/>
        <v>-2.9604771085446372E-3</v>
      </c>
      <c r="P19" s="56">
        <f>ABS(O19*'Assumed Values'!$C$7)</f>
        <v>5.6397088917775342</v>
      </c>
      <c r="Q19" s="57">
        <f t="shared" si="1"/>
        <v>2.0440900397663908</v>
      </c>
      <c r="T19" s="68">
        <f t="shared" si="5"/>
        <v>6.3130730432702665E-3</v>
      </c>
      <c r="U19" s="69">
        <f>T19*'Assumed Values'!$D$8</f>
        <v>0</v>
      </c>
    </row>
    <row r="20" spans="3:21">
      <c r="F20" s="54">
        <f t="shared" si="2"/>
        <v>2034</v>
      </c>
      <c r="G20" s="63">
        <f t="shared" si="6"/>
        <v>65013.397531324779</v>
      </c>
      <c r="H20" s="62">
        <f t="shared" si="8"/>
        <v>1.6055115751258064E-2</v>
      </c>
      <c r="I20" s="54">
        <f>IF(AND(F20&gt;='Inputs &amp; Outputs'!B$13,F20&lt;'Inputs &amp; Outputs'!B$13+'Inputs &amp; Outputs'!B$19),1,0)</f>
        <v>1</v>
      </c>
      <c r="J20" s="55">
        <f>I20*'Inputs &amp; Outputs'!B$16*'Benefit Calculations'!G20*('Benefit Calculations'!C$4-'Benefit Calculations'!C$5)</f>
        <v>24.670885237408143</v>
      </c>
      <c r="K20" s="71">
        <f t="shared" si="3"/>
        <v>7.0707046880523873E-3</v>
      </c>
      <c r="L20" s="56">
        <f>K20*'Assumed Values'!$C$8</f>
        <v>53.086850797897327</v>
      </c>
      <c r="M20" s="57">
        <f t="shared" si="0"/>
        <v>17.982353053313751</v>
      </c>
      <c r="N20" s="55">
        <f>I20*'Inputs &amp; Outputs'!B$16*'Benefit Calculations'!G20*('Benefit Calculations'!D$4-'Benefit Calculations'!D$5)</f>
        <v>-10.4954486496739</v>
      </c>
      <c r="O20" s="71">
        <f t="shared" si="4"/>
        <v>-3.0080079112012712E-3</v>
      </c>
      <c r="P20" s="56">
        <f>ABS(O20*'Assumed Values'!$C$7)</f>
        <v>5.7302550708384219</v>
      </c>
      <c r="Q20" s="57">
        <f t="shared" si="1"/>
        <v>1.9410356466923682</v>
      </c>
      <c r="T20" s="68">
        <f t="shared" si="5"/>
        <v>6.4144301617261174E-3</v>
      </c>
      <c r="U20" s="69">
        <f>T20*'Assumed Values'!$D$8</f>
        <v>0</v>
      </c>
    </row>
    <row r="21" spans="3:21">
      <c r="F21" s="54">
        <f t="shared" si="2"/>
        <v>2035</v>
      </c>
      <c r="G21" s="63">
        <f t="shared" si="6"/>
        <v>66057.19515407276</v>
      </c>
      <c r="H21" s="62">
        <f t="shared" si="8"/>
        <v>1.6055115751258064E-2</v>
      </c>
      <c r="I21" s="54">
        <f>IF(AND(F21&gt;='Inputs &amp; Outputs'!B$13,F21&lt;'Inputs &amp; Outputs'!B$13+'Inputs &amp; Outputs'!B$19),1,0)</f>
        <v>1</v>
      </c>
      <c r="J21" s="55">
        <f>I21*'Inputs &amp; Outputs'!B$16*'Benefit Calculations'!G21*('Benefit Calculations'!C$4-'Benefit Calculations'!C$5)</f>
        <v>25.066979155580739</v>
      </c>
      <c r="K21" s="71">
        <f t="shared" si="3"/>
        <v>7.1842256702620323E-3</v>
      </c>
      <c r="L21" s="56">
        <f>K21*'Assumed Values'!$C$8</f>
        <v>53.939166332327339</v>
      </c>
      <c r="M21" s="57">
        <f t="shared" si="0"/>
        <v>17.07575870379878</v>
      </c>
      <c r="N21" s="55">
        <f>I21*'Inputs &amp; Outputs'!B$16*'Benefit Calculations'!G21*('Benefit Calculations'!D$4-'Benefit Calculations'!D$5)</f>
        <v>-10.663954292605801</v>
      </c>
      <c r="O21" s="71">
        <f t="shared" si="4"/>
        <v>-3.0563018263963081E-3</v>
      </c>
      <c r="P21" s="56">
        <f>ABS(O21*'Assumed Values'!$C$7)</f>
        <v>5.8222549792849669</v>
      </c>
      <c r="Q21" s="57">
        <f t="shared" si="1"/>
        <v>1.8431768211937687</v>
      </c>
      <c r="T21" s="68">
        <f t="shared" si="5"/>
        <v>6.5174145804509928E-3</v>
      </c>
      <c r="U21" s="69">
        <f>T21*'Assumed Values'!$D$8</f>
        <v>0</v>
      </c>
    </row>
    <row r="22" spans="3:21">
      <c r="F22" s="54">
        <f t="shared" si="2"/>
        <v>2036</v>
      </c>
      <c r="G22" s="63">
        <f t="shared" si="6"/>
        <v>67117.751068474841</v>
      </c>
      <c r="H22" s="62">
        <f t="shared" si="8"/>
        <v>1.6055115751258064E-2</v>
      </c>
      <c r="I22" s="54">
        <f>IF(AND(F22&gt;='Inputs &amp; Outputs'!B$13,F22&lt;'Inputs &amp; Outputs'!B$13+'Inputs &amp; Outputs'!B$19),1,0)</f>
        <v>1</v>
      </c>
      <c r="J22" s="55">
        <f>I22*'Inputs &amp; Outputs'!B$16*'Benefit Calculations'!G22*('Benefit Calculations'!C$4-'Benefit Calculations'!C$5)</f>
        <v>25.469432407457958</v>
      </c>
      <c r="K22" s="71">
        <f t="shared" si="3"/>
        <v>7.2995692449812485E-3</v>
      </c>
      <c r="L22" s="56">
        <f>K22*'Assumed Values'!$C$8</f>
        <v>54.805165891319213</v>
      </c>
      <c r="M22" s="57">
        <f t="shared" si="0"/>
        <v>16.214871015260581</v>
      </c>
      <c r="N22" s="55">
        <f>I22*'Inputs &amp; Outputs'!B$16*'Benefit Calculations'!G22*('Benefit Calculations'!D$4-'Benefit Calculations'!D$5)</f>
        <v>-10.835165313139711</v>
      </c>
      <c r="O22" s="71">
        <f t="shared" si="4"/>
        <v>-3.1053711059898818E-3</v>
      </c>
      <c r="P22" s="56">
        <f>ABS(O22*'Assumed Values'!$C$7)</f>
        <v>5.915731956910725</v>
      </c>
      <c r="Q22" s="57">
        <f t="shared" si="1"/>
        <v>1.7502516246804396</v>
      </c>
      <c r="T22" s="68">
        <f t="shared" si="5"/>
        <v>6.6220524259390694E-3</v>
      </c>
      <c r="U22" s="69">
        <f>T22*'Assumed Values'!$D$8</f>
        <v>0</v>
      </c>
    </row>
    <row r="23" spans="3:21">
      <c r="F23" s="54">
        <f t="shared" si="2"/>
        <v>2037</v>
      </c>
      <c r="G23" s="63">
        <f t="shared" si="6"/>
        <v>68195.334330843325</v>
      </c>
      <c r="H23" s="62">
        <f t="shared" si="8"/>
        <v>1.6055115751258064E-2</v>
      </c>
      <c r="I23" s="54">
        <f>IF(AND(F23&gt;='Inputs &amp; Outputs'!B$13,F23&lt;'Inputs &amp; Outputs'!B$13+'Inputs &amp; Outputs'!B$19),1,0)</f>
        <v>1</v>
      </c>
      <c r="J23" s="55">
        <f>I23*'Inputs &amp; Outputs'!B$16*'Benefit Calculations'!G23*('Benefit Calculations'!C$4-'Benefit Calculations'!C$5)</f>
        <v>25.878347092878538</v>
      </c>
      <c r="K23" s="71">
        <f t="shared" si="3"/>
        <v>7.4167646741437453E-3</v>
      </c>
      <c r="L23" s="56">
        <f>K23*'Assumed Values'!$C$8</f>
        <v>55.685069173471241</v>
      </c>
      <c r="M23" s="57">
        <f t="shared" si="0"/>
        <v>15.397385650749818</v>
      </c>
      <c r="N23" s="55">
        <f>I23*'Inputs &amp; Outputs'!B$16*'Benefit Calculations'!G23*('Benefit Calculations'!D$4-'Benefit Calculations'!D$5)</f>
        <v>-11.009125146426184</v>
      </c>
      <c r="O23" s="71">
        <f t="shared" si="4"/>
        <v>-3.1552281985471609E-3</v>
      </c>
      <c r="P23" s="56">
        <f>ABS(O23*'Assumed Values'!$C$7)</f>
        <v>6.0107097182323415</v>
      </c>
      <c r="Q23" s="57">
        <f t="shared" si="1"/>
        <v>1.6620113244004775</v>
      </c>
      <c r="T23" s="68">
        <f t="shared" si="5"/>
        <v>6.7283702441484202E-3</v>
      </c>
      <c r="U23" s="69">
        <f>T23*'Assumed Values'!$D$8</f>
        <v>0</v>
      </c>
    </row>
    <row r="24" spans="3:21">
      <c r="F24" s="54">
        <f t="shared" si="2"/>
        <v>2038</v>
      </c>
      <c r="G24" s="63">
        <f t="shared" si="6"/>
        <v>69290.218317220759</v>
      </c>
      <c r="H24" s="62">
        <f t="shared" si="8"/>
        <v>1.6055115751258064E-2</v>
      </c>
      <c r="I24" s="54">
        <f>IF(AND(F24&gt;='Inputs &amp; Outputs'!B$13,F24&lt;'Inputs &amp; Outputs'!B$13+'Inputs &amp; Outputs'!B$19),1,0)</f>
        <v>1</v>
      </c>
      <c r="J24" s="55">
        <f>I24*'Inputs &amp; Outputs'!B$16*'Benefit Calculations'!G24*('Benefit Calculations'!C$4-'Benefit Calculations'!C$5)</f>
        <v>26.293826950905938</v>
      </c>
      <c r="K24" s="71">
        <f t="shared" si="3"/>
        <v>7.5358416894869664E-3</v>
      </c>
      <c r="L24" s="56">
        <f>K24*'Assumed Values'!$C$8</f>
        <v>56.579099404668142</v>
      </c>
      <c r="M24" s="57">
        <f t="shared" si="0"/>
        <v>14.621114448261093</v>
      </c>
      <c r="N24" s="55">
        <f>I24*'Inputs &amp; Outputs'!B$16*'Benefit Calculations'!G24*('Benefit Calculations'!D$4-'Benefit Calculations'!D$5)</f>
        <v>-11.185877924972143</v>
      </c>
      <c r="O24" s="71">
        <f t="shared" si="4"/>
        <v>-3.2058857524964695E-3</v>
      </c>
      <c r="P24" s="56">
        <f>ABS(O24*'Assumed Values'!$C$7)</f>
        <v>6.1072123585057749</v>
      </c>
      <c r="Q24" s="57">
        <f t="shared" si="1"/>
        <v>1.5782197276575975</v>
      </c>
      <c r="T24" s="68">
        <f t="shared" si="5"/>
        <v>6.8363950072355441E-3</v>
      </c>
      <c r="U24" s="69">
        <f>T24*'Assumed Values'!$D$8</f>
        <v>0</v>
      </c>
    </row>
    <row r="25" spans="3:21">
      <c r="F25" s="54">
        <f t="shared" si="2"/>
        <v>2039</v>
      </c>
      <c r="G25" s="63">
        <f t="shared" si="6"/>
        <v>70402.680792733678</v>
      </c>
      <c r="H25" s="62">
        <f t="shared" si="8"/>
        <v>1.6055115751258064E-2</v>
      </c>
      <c r="I25" s="54">
        <f>IF(AND(F25&gt;='Inputs &amp; Outputs'!B$13,F25&lt;'Inputs &amp; Outputs'!B$13+'Inputs &amp; Outputs'!B$19),1,0)</f>
        <v>1</v>
      </c>
      <c r="J25" s="55">
        <f>I25*'Inputs &amp; Outputs'!B$16*'Benefit Calculations'!G25*('Benefit Calculations'!C$4-'Benefit Calculations'!C$5)</f>
        <v>26.715977386146282</v>
      </c>
      <c r="K25" s="71">
        <f t="shared" si="3"/>
        <v>7.6568305000948352E-3</v>
      </c>
      <c r="L25" s="56">
        <f>K25*'Assumed Values'!$C$8</f>
        <v>57.487483394712022</v>
      </c>
      <c r="M25" s="57">
        <f t="shared" si="0"/>
        <v>13.883979563682537</v>
      </c>
      <c r="N25" s="55">
        <f>I25*'Inputs &amp; Outputs'!B$16*'Benefit Calculations'!G25*('Benefit Calculations'!D$4-'Benefit Calculations'!D$5)</f>
        <v>-11.365468489837014</v>
      </c>
      <c r="O25" s="71">
        <f t="shared" si="4"/>
        <v>-3.2573566193381098E-3</v>
      </c>
      <c r="P25" s="56">
        <f>ABS(O25*'Assumed Values'!$C$7)</f>
        <v>6.2052643598390995</v>
      </c>
      <c r="Q25" s="57">
        <f t="shared" si="1"/>
        <v>1.498652549594448</v>
      </c>
      <c r="T25" s="68">
        <f t="shared" si="5"/>
        <v>6.9461541203980331E-3</v>
      </c>
      <c r="U25" s="69">
        <f>T25*'Assumed Values'!$D$8</f>
        <v>0</v>
      </c>
    </row>
    <row r="26" spans="3:21">
      <c r="F26" s="54">
        <f t="shared" si="2"/>
        <v>2040</v>
      </c>
      <c r="G26" s="63">
        <f t="shared" si="6"/>
        <v>71533.00398205989</v>
      </c>
      <c r="H26" s="62">
        <f t="shared" si="8"/>
        <v>1.6055115751258064E-2</v>
      </c>
      <c r="I26" s="54">
        <f>IF(AND(F26&gt;='Inputs &amp; Outputs'!B$13,F26&lt;'Inputs &amp; Outputs'!B$13+'Inputs &amp; Outputs'!B$19),1,0)</f>
        <v>1</v>
      </c>
      <c r="J26" s="55">
        <f>I26*'Inputs &amp; Outputs'!B$16*'Benefit Calculations'!G26*('Benefit Calculations'!C$4-'Benefit Calculations'!C$5)</f>
        <v>27.14490549548885</v>
      </c>
      <c r="K26" s="71">
        <f t="shared" si="3"/>
        <v>7.7797618000616199E-3</v>
      </c>
      <c r="L26" s="56">
        <f>K26*'Assumed Values'!$C$8</f>
        <v>58.410451594862643</v>
      </c>
      <c r="M26" s="57">
        <f t="shared" si="0"/>
        <v>13.184007909033234</v>
      </c>
      <c r="N26" s="55">
        <f>I26*'Inputs &amp; Outputs'!B$16*'Benefit Calculations'!G26*('Benefit Calculations'!D$4-'Benefit Calculations'!D$5)</f>
        <v>-11.547942402008623</v>
      </c>
      <c r="O26" s="71">
        <f t="shared" si="4"/>
        <v>-3.3096538569047096E-3</v>
      </c>
      <c r="P26" s="56">
        <f>ABS(O26*'Assumed Values'!$C$7)</f>
        <v>6.3048905974034719</v>
      </c>
      <c r="Q26" s="57">
        <f t="shared" si="1"/>
        <v>1.4230968128496306</v>
      </c>
      <c r="T26" s="68">
        <f t="shared" si="5"/>
        <v>7.0576754288271017E-3</v>
      </c>
      <c r="U26" s="69">
        <f>T26*'Assumed Values'!$D$8</f>
        <v>0</v>
      </c>
    </row>
    <row r="27" spans="3:21">
      <c r="F27" s="54">
        <f t="shared" si="2"/>
        <v>2041</v>
      </c>
      <c r="G27" s="63">
        <f t="shared" si="6"/>
        <v>72681.47464102706</v>
      </c>
      <c r="H27" s="62">
        <f t="shared" si="8"/>
        <v>1.6055115751258064E-2</v>
      </c>
      <c r="I27" s="54">
        <f>IF(AND(F27&gt;='Inputs &amp; Outputs'!B$13,F27&lt;'Inputs &amp; Outputs'!B$13+'Inputs &amp; Outputs'!B$19),1,0)</f>
        <v>1</v>
      </c>
      <c r="J27" s="55">
        <f>I27*'Inputs &amp; Outputs'!B$16*'Benefit Calculations'!G27*('Benefit Calculations'!C$4-'Benefit Calculations'!C$5)</f>
        <v>27.580720095275883</v>
      </c>
      <c r="K27" s="71">
        <f t="shared" si="3"/>
        <v>7.9046667762788236E-3</v>
      </c>
      <c r="L27" s="56">
        <f>K27*'Assumed Values'!$C$8</f>
        <v>59.348238156301406</v>
      </c>
      <c r="M27" s="57">
        <f t="shared" si="0"/>
        <v>12.519325871101179</v>
      </c>
      <c r="N27" s="55">
        <f>I27*'Inputs &amp; Outputs'!B$16*'Benefit Calculations'!G27*('Benefit Calculations'!D$4-'Benefit Calculations'!D$5)</f>
        <v>-11.733345953961731</v>
      </c>
      <c r="O27" s="71">
        <f t="shared" si="4"/>
        <v>-3.3627907326739116E-3</v>
      </c>
      <c r="P27" s="56">
        <f>ABS(O27*'Assumed Values'!$C$7)</f>
        <v>6.4061163457438015</v>
      </c>
      <c r="Q27" s="57">
        <f t="shared" si="1"/>
        <v>1.3513502774814743</v>
      </c>
      <c r="T27" s="68">
        <f t="shared" si="5"/>
        <v>7.1709872247717292E-3</v>
      </c>
      <c r="U27" s="69">
        <f>T27*'Assumed Values'!$D$8</f>
        <v>0</v>
      </c>
    </row>
    <row r="28" spans="3:21">
      <c r="F28" s="54">
        <f t="shared" si="2"/>
        <v>2042</v>
      </c>
      <c r="G28" s="63">
        <f t="shared" si="6"/>
        <v>73848.384129360871</v>
      </c>
      <c r="H28" s="62">
        <f t="shared" si="8"/>
        <v>1.6055115751258064E-2</v>
      </c>
      <c r="I28" s="54">
        <f>IF(AND(F28&gt;='Inputs &amp; Outputs'!B$13,F28&lt;'Inputs &amp; Outputs'!B$13+'Inputs &amp; Outputs'!B$19),1,0)</f>
        <v>0</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75034.028484601135</v>
      </c>
      <c r="H29" s="62">
        <f t="shared" si="8"/>
        <v>1.6055115751258064E-2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76238.7084972046</v>
      </c>
      <c r="H30" s="62">
        <f t="shared" si="8"/>
        <v>1.6055115751258064E-2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83884</v>
      </c>
      <c r="H31" s="62">
        <f t="shared" si="8"/>
        <v>1.6055115751258064E-2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85230.767329678536</v>
      </c>
      <c r="H32" s="62">
        <f t="shared" si="8"/>
        <v>1.6055115751258064E-2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86599.157164725068</v>
      </c>
      <c r="H33" s="62">
        <f t="shared" si="8"/>
        <v>1.6055115751258064E-2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87989.516656966123</v>
      </c>
      <c r="H34" s="62">
        <f t="shared" si="8"/>
        <v>1.6055115751258064E-2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89402.198531790957</v>
      </c>
      <c r="H35" s="62">
        <f t="shared" si="8"/>
        <v>1.6055115751258064E-2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90837.561177635813</v>
      </c>
      <c r="H36" s="62">
        <f t="shared" si="8"/>
        <v>1.6055115751258064E-2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474.17632596374165</v>
      </c>
      <c r="K37" s="55">
        <f t="shared" ref="K37:Q37" si="9">SUM(K4:K36)</f>
        <v>0.13589949200004942</v>
      </c>
      <c r="L37" s="58">
        <f t="shared" si="9"/>
        <v>1020.3333859363711</v>
      </c>
      <c r="M37" s="59">
        <f t="shared" si="9"/>
        <v>424.64284929056072</v>
      </c>
      <c r="N37" s="55">
        <f t="shared" si="9"/>
        <v>-201.7233363194195</v>
      </c>
      <c r="O37" s="55">
        <f t="shared" si="9"/>
        <v>-5.7814145138195848E-2</v>
      </c>
      <c r="P37" s="55">
        <f t="shared" si="9"/>
        <v>110.13594648826307</v>
      </c>
      <c r="Q37" s="59">
        <f t="shared" si="9"/>
        <v>45.836432259019759</v>
      </c>
      <c r="T37" s="68">
        <f>SUM(T4:T36)</f>
        <v>0.12328584475057285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61CB7-DFDA-451A-B176-BD47AAFD692A}"/>
</file>

<file path=customXml/itemProps2.xml><?xml version="1.0" encoding="utf-8"?>
<ds:datastoreItem xmlns:ds="http://schemas.openxmlformats.org/officeDocument/2006/customXml" ds:itemID="{AE247529-AF8B-46AF-B170-F32AFEC0FB0B}"/>
</file>

<file path=customXml/itemProps3.xml><?xml version="1.0" encoding="utf-8"?>
<ds:datastoreItem xmlns:ds="http://schemas.openxmlformats.org/officeDocument/2006/customXml" ds:itemID="{FAF9D31E-8013-453C-8BD6-5F5F3D973A4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2018-10-30T22:42:32Z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