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43_HW_IH10/"/>
    </mc:Choice>
  </mc:AlternateContent>
  <xr:revisionPtr revIDLastSave="18" documentId="8_{E9464015-D6F3-42AF-98BF-376FB27476A1}" xr6:coauthVersionLast="40" xr6:coauthVersionMax="40" xr10:uidLastSave="{15BD20FB-8D98-48AD-B8D3-8116D21D0C33}"/>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<sst xmlns="http://schemas.openxmlformats.org/spreadsheetml/2006/main" count="292" uniqueCount="238">
  <si>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</si>
  <si>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</si>
  <si>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</si>
  <si>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</si>
  <si>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</si>
  <si>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</si>
  <si>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</si>
  <si>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</si>
  <si>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</si>
  <si>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</si>
  <si>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</si>
  <si>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</si>
  <si>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</si>
  <si>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</si>
  <si>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</si>
  <si>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</si>
  <si>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</si>
  <si>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</si>
  <si>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</si>
  <si>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</si>
  <si>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</si>
  <si>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</si>
  <si>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</si>
  <si>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</si>
  <si>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</si>
  <si>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</si>
  <si>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</si>
  <si>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</si>
  <si>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</si>
  <si>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</si>
  <si>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</si>
  <si>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</si>
  <si>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</si>
  <si>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</si>
  <si>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</si>
  <si>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</si>
  <si>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</si>
  <si>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</si>
  <si>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</si>
  <si>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</si>
  <si>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</si>
  <si>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</si>
  <si>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</si>
  <si>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</si>
  <si>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</si>
  <si>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</si>
  <si>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</si>
  <si>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</si>
  <si>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</si>
  <si>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IH 10/SS 330 Ramp Reversal</t>
  </si>
  <si>
    <t>Data entered by the sponsors</t>
  </si>
  <si>
    <t>County</t>
  </si>
  <si>
    <t>Harris</t>
  </si>
  <si>
    <t>HGAC regional travel demand model data provided by HGAC</t>
  </si>
  <si>
    <t>Facility Type</t>
  </si>
  <si>
    <t>Freeway</t>
  </si>
  <si>
    <t>Data populated/calculated based on inputs</t>
  </si>
  <si>
    <t>Street Name:</t>
  </si>
  <si>
    <t>IH 10</t>
  </si>
  <si>
    <t>Benefits calculated by the template</t>
  </si>
  <si>
    <t>Limits (From)</t>
  </si>
  <si>
    <t>SS 330</t>
  </si>
  <si>
    <t>Limits (To)</t>
  </si>
  <si>
    <t>Thompson Rd</t>
  </si>
  <si>
    <t>Length (in Miles)</t>
  </si>
  <si>
    <t>Application ID Number:</t>
  </si>
  <si>
    <t>Sponsor ID Number (CSJ, etc.):</t>
  </si>
  <si>
    <t>0508-01-345</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</si>
  <si>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</si>
  <si>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</si>
  <si>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</si>
  <si>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</si>
  <si>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</si>
  <si>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Ramp Configuration</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</si>
  <si>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</si>
  <si>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</si>
  <si>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</si>
  <si>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</si>
  <si>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</si>
  <si>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</si>
  <si>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</si>
  <si>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</si>
  <si>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</si>
  <si>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</si>
  <si>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</si>
  <si>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</si>
  <si>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</si>
  <si>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</si>
  <si>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</si>
  <si>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</si>
  <si>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</si>
  <si>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</si>
  <si>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</si>
  <si>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</si>
  <si>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</si>
  <si>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</si>
  <si>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</si>
  <si>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</si>
  <si>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</si>
  <si>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</si>
  <si>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</si>
  <si>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</si>
  <si>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</si>
  <si>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</si>
  <si>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</si>
  <si>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</si>
  <si>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</si>
  <si>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</si>
  <si>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</si>
  <si>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</si>
  <si>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</si>
  <si>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</si>
  <si>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</si>
  <si>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</si>
  <si>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</si>
  <si>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</si>
  <si>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</si>
  <si>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</si>
  <si>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</si>
  <si>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</si>
  <si>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</si>
  <si>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</si>
  <si>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</si>
  <si>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2025-2045 V/C Growth</t>
  </si>
  <si>
    <t>Non Freeway</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</si>
  <si>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</si>
  <si>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</si>
  <si>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</si>
  <si>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</si>
  <si>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</si>
  <si>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</si>
  <si>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</si>
  <si>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</si>
  <si>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</si>
  <si>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</si>
  <si>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</si>
  <si>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</si>
  <si>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</si>
  <si>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</si>
  <si>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</si>
  <si>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</si>
  <si>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</si>
  <si>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</si>
  <si>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</si>
  <si>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</si>
  <si>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</si>
  <si>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</si>
  <si>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</si>
  <si>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</si>
  <si>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</si>
  <si>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</si>
  <si>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</si>
  <si>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</si>
  <si>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</si>
  <si>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</si>
  <si>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</si>
  <si>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</si>
  <si>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</si>
  <si>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</si>
  <si>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</si>
  <si>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</si>
  <si>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</si>
  <si>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</si>
  <si>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</si>
  <si>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 xml:space="preserve">Grade Separation </t>
  </si>
  <si>
    <t xml:space="preserve">Managed HOT/HOV Lanes </t>
  </si>
  <si>
    <t>Liberty</t>
  </si>
  <si>
    <t xml:space="preserve">Adding New Lanes or Roads </t>
  </si>
  <si>
    <t>Montgomery</t>
  </si>
  <si>
    <t>Adding New Toll Roads</t>
  </si>
  <si>
    <t>Waller</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</si>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</sst>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17" zoomScale="115" zoomScaleNormal="115" workbookViewId="0" xr3:uid="{51F8DEE0-4D01-5F28-A812-FC0BD7CAC4A5}">
      <selection activeCell="B34" sqref="B34"/>
    </sheetView>
  </sheetViews>
  <sheetFormatPr defaultColWidth="9.140625" defaultRowHeight="14.4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
      <c r="A3" s="96" t="s">
        <v>46</v>
      </c>
      <c r="B3" s="94"/>
      <c r="C3" s="94"/>
      <c r="D3" s="94"/>
      <c r="E3" s="94"/>
    </row>
    <row r="4" spans="1:7">
      <c r="F4" s="97"/>
      <c r="G4" s="97"/>
    </row>
    <row r="5" spans="1:7">
      <c r="A5" s="98" t="s">
        <v>47</v>
      </c>
    </row>
    <row r="6" spans="1:7" ht="28.9">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0.85</v>
      </c>
    </row>
    <row r="13" spans="1:7">
      <c r="A13" s="7" t="s">
        <v>65</v>
      </c>
      <c r="B13" s="116"/>
      <c r="F13" s="99"/>
    </row>
    <row r="14" spans="1:7">
      <c r="A14" s="7" t="s">
        <v>66</v>
      </c>
      <c r="B14" s="116" t="s">
        <v>67</v>
      </c>
    </row>
    <row r="17" spans="1:7">
      <c r="A17" s="98" t="s">
        <v>68</v>
      </c>
      <c r="E17" s="130" t="s">
        <v>69</v>
      </c>
      <c r="F17" s="131"/>
    </row>
    <row r="18" spans="1:7">
      <c r="A18" s="7" t="s">
        <v>70</v>
      </c>
      <c r="B18" s="117">
        <v>2022</v>
      </c>
      <c r="E18" s="87" t="s">
        <v>71</v>
      </c>
      <c r="F18" s="122">
        <f>$B$12/$B$32</f>
        <v>1.4166666666666666E-2</v>
      </c>
    </row>
    <row r="19" spans="1:7" ht="28.9">
      <c r="A19" s="7" t="s">
        <v>72</v>
      </c>
      <c r="B19" s="118" t="s">
        <v>73</v>
      </c>
      <c r="E19" s="89" t="s">
        <v>74</v>
      </c>
      <c r="F19" s="123">
        <f>$B$12/$B$33</f>
        <v>2.8333333333333332E-2</v>
      </c>
    </row>
    <row r="20" spans="1:7" ht="28.9">
      <c r="A20" s="113" t="s">
        <v>75</v>
      </c>
      <c r="B20" s="114">
        <f>VLOOKUP(B19,'Delay Reduction Factors'!B4:C80,2, FALSE)</f>
        <v>0.2</v>
      </c>
      <c r="E20" s="89" t="s">
        <v>76</v>
      </c>
      <c r="F20" s="122">
        <f>$F$19-$F$18</f>
        <v>1.4166666666666666E-2</v>
      </c>
    </row>
    <row r="21" spans="1:7">
      <c r="A21" s="7" t="s">
        <v>77</v>
      </c>
      <c r="B21" s="63">
        <v>20</v>
      </c>
      <c r="D21" s="100"/>
      <c r="E21" s="87" t="s">
        <v>78</v>
      </c>
      <c r="F21" s="122">
        <f>$F$20*$B$20</f>
        <v>2.8333333333333335E-3</v>
      </c>
      <c r="G21" s="101"/>
    </row>
    <row r="22" spans="1:7">
      <c r="D22" s="100"/>
      <c r="E22" s="87" t="s">
        <v>79</v>
      </c>
      <c r="F22" s="122">
        <f>$F$20-$F$21</f>
        <v>1.1333333333333332E-2</v>
      </c>
      <c r="G22" s="101"/>
    </row>
    <row r="23" spans="1:7">
      <c r="E23" s="87" t="s">
        <v>80</v>
      </c>
      <c r="F23" s="122">
        <f>$F$18+$F$22</f>
        <v>2.5499999999999998E-2</v>
      </c>
    </row>
    <row r="24" spans="1:7" ht="15">
      <c r="A24" s="98" t="s">
        <v>81</v>
      </c>
      <c r="B24" s="102"/>
      <c r="D24" s="100"/>
    </row>
    <row r="25" spans="1:7" ht="15">
      <c r="A25" s="7" t="s">
        <v>82</v>
      </c>
      <c r="B25" s="126">
        <v>44940</v>
      </c>
      <c r="D25" s="100"/>
    </row>
    <row r="28" spans="1:7">
      <c r="A28" s="87" t="s">
        <v>83</v>
      </c>
      <c r="B28" s="112">
        <f>IF(FacilityType='Delay Reduction Factors'!N5,'Inputs &amp; Outputs'!B25*45%, B25*43%)</f>
        <v>20223</v>
      </c>
      <c r="D28" s="100"/>
      <c r="E28" s="103" t="s">
        <v>84</v>
      </c>
      <c r="F28" s="104" t="s">
        <v>2</v>
      </c>
      <c r="G28" s="105" t="s">
        <v>85</v>
      </c>
    </row>
    <row r="29" spans="1:7">
      <c r="A29" s="87" t="s">
        <v>86</v>
      </c>
      <c r="B29" s="95">
        <f>VLOOKUP(Year_Open_to_Traffic?,Calculations!H4:I36,2)</f>
        <v>22651.80989618447</v>
      </c>
      <c r="D29" s="100"/>
      <c r="E29" s="89" t="s">
        <v>87</v>
      </c>
      <c r="F29" s="83">
        <f>$B$29*$F$23</f>
        <v>577.62115235270392</v>
      </c>
      <c r="G29" s="84">
        <f>$B$29*$F$19</f>
        <v>641.80128039189333</v>
      </c>
    </row>
    <row r="30" spans="1:7">
      <c r="B30" s="82"/>
      <c r="D30" s="100"/>
    </row>
    <row r="32" spans="1:7">
      <c r="A32" s="106" t="s">
        <v>88</v>
      </c>
      <c r="B32" s="119">
        <v>60</v>
      </c>
      <c r="D32" s="100"/>
    </row>
    <row r="33" spans="1:7" ht="28.9">
      <c r="A33" s="107" t="s">
        <v>89</v>
      </c>
      <c r="B33" s="120">
        <v>30</v>
      </c>
      <c r="D33" s="100"/>
      <c r="E33" s="100"/>
      <c r="F33" s="108"/>
    </row>
    <row r="34" spans="1:7">
      <c r="A34" s="109"/>
      <c r="B34" s="121"/>
      <c r="F34" s="108"/>
      <c r="G34" s="108"/>
    </row>
    <row r="35" spans="1:7">
      <c r="A35" s="87" t="s">
        <v>90</v>
      </c>
      <c r="B35" s="125">
        <f>$B$28</f>
        <v>20223</v>
      </c>
    </row>
    <row r="36" spans="1:7">
      <c r="A36" s="106" t="s">
        <v>91</v>
      </c>
      <c r="B36" s="119">
        <v>57057</v>
      </c>
    </row>
    <row r="37" spans="1:7">
      <c r="A37" s="106" t="s">
        <v>92</v>
      </c>
      <c r="B37" s="119">
        <v>24663</v>
      </c>
    </row>
    <row r="38" spans="1:7">
      <c r="A38" s="106" t="s">
        <v>93</v>
      </c>
      <c r="B38" s="119">
        <v>62277</v>
      </c>
    </row>
    <row r="39" spans="1:7">
      <c r="A39" s="106" t="s">
        <v>94</v>
      </c>
      <c r="B39" s="119">
        <v>36940</v>
      </c>
    </row>
    <row r="40" spans="1:7">
      <c r="A40" s="106" t="s">
        <v>95</v>
      </c>
      <c r="B40" s="119">
        <v>62277</v>
      </c>
      <c r="G40" s="110"/>
    </row>
    <row r="42" spans="1:7" ht="18">
      <c r="A42" s="96" t="s">
        <v>96</v>
      </c>
      <c r="B42" s="94"/>
    </row>
    <row r="43" spans="1:7">
      <c r="C43" s="97"/>
      <c r="D43" s="97"/>
      <c r="E43" s="97"/>
      <c r="F43" s="97"/>
      <c r="G43" s="97"/>
    </row>
    <row r="44" spans="1:7" hidden="1">
      <c r="A44" s="111" t="s">
        <v>97</v>
      </c>
    </row>
    <row r="45" spans="1:7">
      <c r="A45" s="111" t="s">
        <v>97</v>
      </c>
    </row>
    <row r="46" spans="1:7">
      <c r="A46" s="88" t="s">
        <v>98</v>
      </c>
      <c r="B46" s="40">
        <f>Calculations!$T$37</f>
        <v>5607.9262307968347</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4.4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3.1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150181.49961170301</v>
      </c>
      <c r="F4" s="21">
        <f>'Inputs &amp; Outputs'!G29*Annual_Days_of_Travel</f>
        <v>166868.33290189225</v>
      </c>
      <c r="H4" s="49">
        <v>2018</v>
      </c>
      <c r="I4" s="50">
        <f>'Inputs &amp; Outputs'!B28</f>
        <v>20223</v>
      </c>
      <c r="J4" s="50">
        <f>IF(H4=Year_Open_to_Traffic?,$F$4,0)</f>
        <v>0</v>
      </c>
      <c r="K4" s="50">
        <f>IF(H4=Year_Open_to_Traffic?,Calculations!$E$4,0)</f>
        <v>0</v>
      </c>
      <c r="L4" s="50">
        <f>IF(AND(H4&gt;=Year_Open_to_Traffic?, Calculations!H4&lt;Year_Open_to_Traffic?+'Inputs &amp; Outputs'!B$21), 1, 0)</f>
        <v>0</v>
      </c>
      <c r="M4" s="65" t="s">
        <v>111</v>
      </c>
      <c r="N4" s="66">
        <f>MIN(E8,1)</f>
        <v>0.35443503864556497</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2.8760620169488327E-2</v>
      </c>
      <c r="F5" s="26"/>
      <c r="H5" s="14">
        <f t="shared" ref="H5:H36" si="3">H4+1</f>
        <v>2019</v>
      </c>
      <c r="I5" s="79">
        <f>(I4*M5)+I4</f>
        <v>20804.626021687563</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2.8760620169488327E-2</v>
      </c>
      <c r="N5" s="71">
        <f t="shared" ref="N5:N11" si="6">N4*(1+IFERROR(_2018_2025_V_C_Growth,_2018_2045_V_C_Growth))</f>
        <v>0.36009718820156755</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2.0404932840960344E-2</v>
      </c>
      <c r="F6" s="26"/>
      <c r="H6" s="49">
        <f t="shared" si="3"/>
        <v>2020</v>
      </c>
      <c r="I6" s="79">
        <f t="shared" ref="I6:I36" si="10">(I5*M6)+I5</f>
        <v>21402.979968465574</v>
      </c>
      <c r="J6" s="50">
        <f t="shared" si="4"/>
        <v>0</v>
      </c>
      <c r="K6" s="50">
        <f>IF(H6=Year_Open_to_Traffic?,Calculations!$E$4,K5+(K5*M6))</f>
        <v>0</v>
      </c>
      <c r="L6" s="50">
        <f>IF(AND(H6&gt;=Year_Open_to_Traffic?, Calculations!H6&lt;Year_Open_to_Traffic?+'Inputs &amp; Outputs'!B$21), 1, 0)</f>
        <v>0</v>
      </c>
      <c r="M6" s="65">
        <f t="shared" si="5"/>
        <v>2.8760620169488327E-2</v>
      </c>
      <c r="N6" s="71">
        <f t="shared" si="6"/>
        <v>0.36584979139250717</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2.2564683236909744E-2</v>
      </c>
      <c r="F7" s="26"/>
      <c r="H7" s="14">
        <f t="shared" si="3"/>
        <v>2021</v>
      </c>
      <c r="I7" s="79">
        <f t="shared" si="10"/>
        <v>22018.542945833779</v>
      </c>
      <c r="J7" s="50">
        <f t="shared" si="4"/>
        <v>0</v>
      </c>
      <c r="K7" s="50">
        <f>IF(H7=Year_Open_to_Traffic?,Calculations!$E$4,K6+(K6*M7))</f>
        <v>0</v>
      </c>
      <c r="L7" s="50">
        <f>IF(AND(H7&gt;=Year_Open_to_Traffic?, Calculations!H7&lt;Year_Open_to_Traffic?+'Inputs &amp; Outputs'!B$21), 1, 0)</f>
        <v>0</v>
      </c>
      <c r="M7" s="65">
        <f t="shared" si="5"/>
        <v>2.8760620169488327E-2</v>
      </c>
      <c r="N7" s="71">
        <f t="shared" si="6"/>
        <v>0.3716942932279147</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0.35443503864556497</v>
      </c>
      <c r="F8" s="26"/>
      <c r="H8" s="49">
        <f t="shared" si="3"/>
        <v>2022</v>
      </c>
      <c r="I8" s="79">
        <f t="shared" si="10"/>
        <v>22651.80989618447</v>
      </c>
      <c r="J8" s="50">
        <f t="shared" si="4"/>
        <v>166868.33290189225</v>
      </c>
      <c r="K8" s="50">
        <f>IF(H8=Year_Open_to_Traffic?,Calculations!$E$4,K7+(K7*M8))</f>
        <v>150181.49961170301</v>
      </c>
      <c r="L8" s="50">
        <f>IF(AND(H8&gt;=Year_Open_to_Traffic?, Calculations!H8&lt;Year_Open_to_Traffic?+'Inputs &amp; Outputs'!B$21), 1, 0)</f>
        <v>1</v>
      </c>
      <c r="M8" s="65">
        <f t="shared" si="5"/>
        <v>2.8760620169488327E-2</v>
      </c>
      <c r="N8" s="71">
        <f t="shared" si="6"/>
        <v>0.37763216180155118</v>
      </c>
      <c r="O8" s="72">
        <f t="shared" si="7"/>
        <v>1</v>
      </c>
      <c r="P8" s="68">
        <f>(J8-K8)*L8</f>
        <v>16686.833290189243</v>
      </c>
      <c r="Q8" s="69">
        <f>IF(AND(H8&gt;=Year_Open_to_Traffic?,H8&lt;Year_Open_to_Traffic?+Years_to_include_in_BCA_Analysis),1,0)</f>
        <v>1</v>
      </c>
      <c r="R8" s="70">
        <f t="shared" si="1"/>
        <v>19.416758600864465</v>
      </c>
      <c r="S8" s="77">
        <f t="shared" si="2"/>
        <v>450.36585719377808</v>
      </c>
      <c r="T8" s="64">
        <f t="shared" si="9"/>
        <v>343.58195612281281</v>
      </c>
      <c r="W8" s="58"/>
      <c r="X8" s="58"/>
    </row>
    <row r="9" spans="1:24">
      <c r="A9" s="17" t="s">
        <v>118</v>
      </c>
      <c r="B9" s="17">
        <f>'Inputs &amp; Outputs'!B21</f>
        <v>20</v>
      </c>
      <c r="D9" s="17" t="s">
        <v>119</v>
      </c>
      <c r="E9" s="22">
        <f>_2025_PeakVolume/_2025_Capacity</f>
        <v>0.39602100293848452</v>
      </c>
      <c r="F9" s="26"/>
      <c r="H9" s="14">
        <f t="shared" si="3"/>
        <v>2023</v>
      </c>
      <c r="I9" s="79">
        <f t="shared" si="10"/>
        <v>23303.28999676009</v>
      </c>
      <c r="J9" s="50">
        <f t="shared" si="4"/>
        <v>171667.5696427993</v>
      </c>
      <c r="K9" s="50">
        <f>IF(H9=Year_Open_to_Traffic?,Calculations!$E$4,K8+(K8*M9))</f>
        <v>154500.81267851935</v>
      </c>
      <c r="L9" s="50">
        <f>IF(AND(H9&gt;=Year_Open_to_Traffic?, Calculations!H9&lt;Year_Open_to_Traffic?+'Inputs &amp; Outputs'!B$21), 1, 0)</f>
        <v>1</v>
      </c>
      <c r="M9" s="65">
        <f t="shared" si="5"/>
        <v>2.8760620169488327E-2</v>
      </c>
      <c r="N9" s="71">
        <f t="shared" si="6"/>
        <v>0.383664888660182</v>
      </c>
      <c r="O9" s="72">
        <f t="shared" si="7"/>
        <v>1</v>
      </c>
      <c r="P9" s="68">
        <f t="shared" si="8"/>
        <v>17166.75696427995</v>
      </c>
      <c r="Q9" s="69">
        <f t="shared" si="0"/>
        <v>1</v>
      </c>
      <c r="R9" s="70">
        <f t="shared" si="1"/>
        <v>19.863344048684343</v>
      </c>
      <c r="S9" s="77">
        <f t="shared" si="2"/>
        <v>473.97498769648047</v>
      </c>
      <c r="T9" s="64">
        <f t="shared" si="9"/>
        <v>337.9376156485323</v>
      </c>
      <c r="W9" s="58"/>
    </row>
    <row r="10" spans="1:24">
      <c r="D10" s="17" t="s">
        <v>120</v>
      </c>
      <c r="E10" s="22">
        <f>_2045_PeakVolume/_2045_Capacity</f>
        <v>0.59315638197087206</v>
      </c>
      <c r="F10" s="26"/>
      <c r="H10" s="49">
        <f t="shared" si="3"/>
        <v>2024</v>
      </c>
      <c r="I10" s="79">
        <f t="shared" si="10"/>
        <v>23973.507069056344</v>
      </c>
      <c r="J10" s="50">
        <f t="shared" si="4"/>
        <v>176604.83540871504</v>
      </c>
      <c r="K10" s="50">
        <f>IF(H10=Year_Open_to_Traffic?,Calculations!$E$4,K9+(K9*M10))</f>
        <v>158944.35186784351</v>
      </c>
      <c r="L10" s="50">
        <f>IF(AND(H10&gt;=Year_Open_to_Traffic?, Calculations!H10&lt;Year_Open_to_Traffic?+'Inputs &amp; Outputs'!B$21), 1, 0)</f>
        <v>1</v>
      </c>
      <c r="M10" s="65">
        <f t="shared" si="5"/>
        <v>2.8760620169488327E-2</v>
      </c>
      <c r="N10" s="71">
        <f t="shared" si="6"/>
        <v>0.38979398917824171</v>
      </c>
      <c r="O10" s="72">
        <f t="shared" si="7"/>
        <v>1</v>
      </c>
      <c r="P10" s="68">
        <f>(J10-K10)*L10</f>
        <v>17660.48354087153</v>
      </c>
      <c r="Q10" s="69">
        <f t="shared" si="0"/>
        <v>1</v>
      </c>
      <c r="R10" s="70">
        <f t="shared" si="1"/>
        <v>20.320200961804083</v>
      </c>
      <c r="S10" s="77">
        <f t="shared" si="2"/>
        <v>498.8217587400685</v>
      </c>
      <c r="T10" s="64">
        <f t="shared" si="9"/>
        <v>332.38600000692117</v>
      </c>
      <c r="W10" s="58"/>
    </row>
    <row r="11" spans="1:24" ht="30" customHeight="1">
      <c r="A11" s="132" t="s">
        <v>121</v>
      </c>
      <c r="B11" s="133"/>
      <c r="D11" s="17" t="s">
        <v>122</v>
      </c>
      <c r="E11" s="39">
        <f>(E9/E8)^(1/(2025-2018))-1</f>
        <v>1.597514054377891E-2</v>
      </c>
      <c r="F11" s="26"/>
      <c r="H11" s="14">
        <f t="shared" si="3"/>
        <v>2025</v>
      </c>
      <c r="I11" s="79">
        <f t="shared" si="10"/>
        <v>24663.000000000018</v>
      </c>
      <c r="J11" s="50">
        <f t="shared" si="4"/>
        <v>181684.10000000009</v>
      </c>
      <c r="K11" s="50">
        <f>IF(H11=Year_Open_to_Traffic?,Calculations!$E$4,K10+(K10*M11))</f>
        <v>163515.69000000006</v>
      </c>
      <c r="L11" s="50">
        <f>IF(AND(H11&gt;=Year_Open_to_Traffic?, Calculations!H11&lt;Year_Open_to_Traffic?+'Inputs &amp; Outputs'!B$21), 1, 0)</f>
        <v>1</v>
      </c>
      <c r="M11" s="65">
        <f t="shared" si="5"/>
        <v>2.8760620169488327E-2</v>
      </c>
      <c r="N11" s="71">
        <f t="shared" si="6"/>
        <v>0.39602100293848436</v>
      </c>
      <c r="O11" s="72">
        <f t="shared" si="7"/>
        <v>1</v>
      </c>
      <c r="P11" s="68">
        <f t="shared" si="8"/>
        <v>18168.410000000033</v>
      </c>
      <c r="Q11" s="69">
        <f t="shared" si="0"/>
        <v>1</v>
      </c>
      <c r="R11" s="70">
        <f t="shared" si="1"/>
        <v>20.787565583925574</v>
      </c>
      <c r="S11" s="77">
        <f t="shared" si="2"/>
        <v>524.9710500586034</v>
      </c>
      <c r="T11" s="64">
        <f t="shared" si="9"/>
        <v>326.92558592087801</v>
      </c>
      <c r="W11" s="58"/>
    </row>
    <row r="12" spans="1:24">
      <c r="A12" s="17" t="s">
        <v>55</v>
      </c>
      <c r="B12" s="18">
        <v>0.45</v>
      </c>
      <c r="D12" s="17" t="s">
        <v>123</v>
      </c>
      <c r="E12" s="39">
        <f>(E10/E9)^(1/(2045-2025))-1</f>
        <v>2.0404932840960344E-2</v>
      </c>
      <c r="F12" s="26"/>
      <c r="H12" s="49">
        <v>2026</v>
      </c>
      <c r="I12" s="79">
        <f t="shared" si="10"/>
        <v>25166.246858656625</v>
      </c>
      <c r="J12" s="50">
        <f t="shared" si="4"/>
        <v>185391.35185877042</v>
      </c>
      <c r="K12" s="50">
        <f>IF(H12=Year_Open_to_Traffic?,Calculations!$E$4,K11+(K11*M12))</f>
        <v>166852.21667289335</v>
      </c>
      <c r="L12" s="50">
        <f>IF(AND(H12&gt;=Year_Open_to_Traffic?, Calculations!H12&lt;Year_Open_to_Traffic?+'Inputs &amp; Outputs'!B$21), 1, 0)</f>
        <v>1</v>
      </c>
      <c r="M12" s="65">
        <f t="shared" ref="M12:M36" si="11">IFERROR(_2025_2045_Demand_Growth,_2018_2045_Demand_Growth)</f>
        <v>2.0404932840960344E-2</v>
      </c>
      <c r="N12" s="71">
        <f t="shared" ref="N12:N36" si="12">N11*(1+IFERROR(_2025_2045_V_C_Growth,_2018_2045_V_C_Growth))</f>
        <v>0.4041017849070539</v>
      </c>
      <c r="O12" s="72">
        <f t="shared" si="7"/>
        <v>1</v>
      </c>
      <c r="P12" s="68">
        <f t="shared" si="8"/>
        <v>18539.135185877065</v>
      </c>
      <c r="Q12" s="69">
        <f t="shared" si="0"/>
        <v>1</v>
      </c>
      <c r="R12" s="70">
        <f t="shared" si="1"/>
        <v>21.265679592355859</v>
      </c>
      <c r="S12" s="77">
        <f t="shared" si="2"/>
        <v>548.00375920730289</v>
      </c>
      <c r="T12" s="64">
        <f t="shared" si="9"/>
        <v>318.94317719451732</v>
      </c>
      <c r="W12" s="58"/>
    </row>
    <row r="13" spans="1:24">
      <c r="A13" s="17" t="s">
        <v>124</v>
      </c>
      <c r="B13" s="18">
        <v>0.43</v>
      </c>
      <c r="D13" s="17" t="s">
        <v>125</v>
      </c>
      <c r="E13" s="39">
        <f>(E10/E8)^(1/(2045-2018))-1</f>
        <v>1.9254616940607594E-2</v>
      </c>
      <c r="F13" s="26"/>
      <c r="H13" s="14">
        <f t="shared" si="3"/>
        <v>2027</v>
      </c>
      <c r="I13" s="79">
        <f t="shared" si="10"/>
        <v>25679.762435666544</v>
      </c>
      <c r="J13" s="50">
        <f t="shared" si="4"/>
        <v>189174.24994274348</v>
      </c>
      <c r="K13" s="50">
        <f>IF(H13=Year_Open_to_Traffic?,Calculations!$E$4,K12+(K12*M13))</f>
        <v>170256.82494846912</v>
      </c>
      <c r="L13" s="50">
        <f>IF(AND(H13&gt;=Year_Open_to_Traffic?, Calculations!H13&lt;Year_Open_to_Traffic?+'Inputs &amp; Outputs'!B$21), 1, 0)</f>
        <v>1</v>
      </c>
      <c r="M13" s="65">
        <f t="shared" si="11"/>
        <v>2.0404932840960344E-2</v>
      </c>
      <c r="N13" s="71">
        <f t="shared" si="12"/>
        <v>0.41234745468899453</v>
      </c>
      <c r="O13" s="72">
        <f t="shared" si="7"/>
        <v>1</v>
      </c>
      <c r="P13" s="68">
        <f t="shared" si="8"/>
        <v>18917.424994274363</v>
      </c>
      <c r="Q13" s="69">
        <f t="shared" si="0"/>
        <v>1</v>
      </c>
      <c r="R13" s="70">
        <f t="shared" si="1"/>
        <v>21.754790222980041</v>
      </c>
      <c r="S13" s="77">
        <f t="shared" si="2"/>
        <v>572.04701111006341</v>
      </c>
      <c r="T13" s="64">
        <f t="shared" si="9"/>
        <v>311.15567168717251</v>
      </c>
      <c r="W13" s="58"/>
    </row>
    <row r="14" spans="1:24">
      <c r="H14" s="49">
        <f>H13+1</f>
        <v>2028</v>
      </c>
      <c r="I14" s="79">
        <f t="shared" si="10"/>
        <v>26203.756263538136</v>
      </c>
      <c r="J14" s="50">
        <f t="shared" si="4"/>
        <v>193034.33780806421</v>
      </c>
      <c r="K14" s="50">
        <f>IF(H14=Year_Open_to_Traffic?,Calculations!$E$4,K13+(K13*M14))</f>
        <v>173730.90402725778</v>
      </c>
      <c r="L14" s="50">
        <f>IF(AND(H14&gt;=Year_Open_to_Traffic?, Calculations!H14&lt;Year_Open_to_Traffic?+'Inputs &amp; Outputs'!B$21), 1, 0)</f>
        <v>1</v>
      </c>
      <c r="M14" s="65">
        <f t="shared" si="11"/>
        <v>2.0404932840960344E-2</v>
      </c>
      <c r="N14" s="71">
        <f t="shared" si="12"/>
        <v>0.42076137680906439</v>
      </c>
      <c r="O14" s="72">
        <f t="shared" si="7"/>
        <v>1</v>
      </c>
      <c r="P14" s="68">
        <f t="shared" si="8"/>
        <v>19303.43378080643</v>
      </c>
      <c r="Q14" s="69">
        <f t="shared" si="0"/>
        <v>1</v>
      </c>
      <c r="R14" s="70">
        <f t="shared" si="1"/>
        <v>22.255150398108579</v>
      </c>
      <c r="S14" s="77">
        <f t="shared" si="2"/>
        <v>597.14514256856978</v>
      </c>
      <c r="T14" s="64">
        <f t="shared" si="9"/>
        <v>303.55831052641759</v>
      </c>
      <c r="W14" s="58"/>
    </row>
    <row r="15" spans="1:24">
      <c r="H15" s="14">
        <f t="shared" si="3"/>
        <v>2029</v>
      </c>
      <c r="I15" s="79">
        <f t="shared" si="10"/>
        <v>26738.442150276525</v>
      </c>
      <c r="J15" s="50">
        <f t="shared" si="4"/>
        <v>196973.19050703701</v>
      </c>
      <c r="K15" s="50">
        <f>IF(H15=Year_Open_to_Traffic?,Calculations!$E$4,K14+(K14*M15))</f>
        <v>177275.87145633332</v>
      </c>
      <c r="L15" s="50">
        <f>IF(AND(H15&gt;=Year_Open_to_Traffic?, Calculations!H15&lt;Year_Open_to_Traffic?+'Inputs &amp; Outputs'!B$21), 1, 0)</f>
        <v>1</v>
      </c>
      <c r="M15" s="65">
        <f t="shared" si="11"/>
        <v>2.0404932840960344E-2</v>
      </c>
      <c r="N15" s="71">
        <f t="shared" si="12"/>
        <v>0.42934698444492336</v>
      </c>
      <c r="O15" s="72">
        <f t="shared" si="7"/>
        <v>1</v>
      </c>
      <c r="P15" s="68">
        <f t="shared" si="8"/>
        <v>19697.319050703692</v>
      </c>
      <c r="Q15" s="69">
        <f t="shared" si="0"/>
        <v>1</v>
      </c>
      <c r="R15" s="70">
        <f t="shared" si="1"/>
        <v>22.767018857265079</v>
      </c>
      <c r="S15" s="77">
        <f t="shared" si="2"/>
        <v>623.34443562826323</v>
      </c>
      <c r="T15" s="64">
        <f t="shared" si="9"/>
        <v>296.14645103527357</v>
      </c>
      <c r="W15" s="58"/>
    </row>
    <row r="16" spans="1:24">
      <c r="H16" s="49">
        <f t="shared" si="3"/>
        <v>2030</v>
      </c>
      <c r="I16" s="79">
        <f t="shared" si="10"/>
        <v>27284.038266624822</v>
      </c>
      <c r="J16" s="50">
        <f t="shared" si="4"/>
        <v>200992.41523080278</v>
      </c>
      <c r="K16" s="50">
        <f>IF(H16=Year_Open_to_Traffic?,Calculations!$E$4,K15+(K15*M16))</f>
        <v>180893.17370772251</v>
      </c>
      <c r="L16" s="50">
        <f>IF(AND(H16&gt;=Year_Open_to_Traffic?, Calculations!H16&lt;Year_Open_to_Traffic?+'Inputs &amp; Outputs'!B$21), 1, 0)</f>
        <v>1</v>
      </c>
      <c r="M16" s="65">
        <f t="shared" si="11"/>
        <v>2.0404932840960344E-2</v>
      </c>
      <c r="N16" s="71">
        <f t="shared" si="12"/>
        <v>0.43810778082799084</v>
      </c>
      <c r="O16" s="72">
        <f t="shared" si="7"/>
        <v>1</v>
      </c>
      <c r="P16" s="68">
        <f t="shared" si="8"/>
        <v>20099.241523080273</v>
      </c>
      <c r="Q16" s="69">
        <f t="shared" si="0"/>
        <v>1</v>
      </c>
      <c r="R16" s="70">
        <f t="shared" si="1"/>
        <v>23.290660290982171</v>
      </c>
      <c r="S16" s="77">
        <f t="shared" si="2"/>
        <v>650.69320292444741</v>
      </c>
      <c r="T16" s="64">
        <f t="shared" si="9"/>
        <v>288.91556389511322</v>
      </c>
      <c r="W16" s="58"/>
    </row>
    <row r="17" spans="1:23">
      <c r="A17" s="27"/>
      <c r="H17" s="14">
        <f t="shared" si="3"/>
        <v>2031</v>
      </c>
      <c r="I17" s="79">
        <f t="shared" si="10"/>
        <v>27840.767235085495</v>
      </c>
      <c r="J17" s="50">
        <f t="shared" si="4"/>
        <v>205093.65196512974</v>
      </c>
      <c r="K17" s="50">
        <f>IF(H17=Year_Open_to_Traffic?,Calculations!$E$4,K16+(K16*M17))</f>
        <v>184584.28676861676</v>
      </c>
      <c r="L17" s="50">
        <f>IF(AND(H17&gt;=Year_Open_to_Traffic?, Calculations!H17&lt;Year_Open_to_Traffic?+'Inputs &amp; Outputs'!B$21), 1, 0)</f>
        <v>1</v>
      </c>
      <c r="M17" s="65">
        <f t="shared" si="11"/>
        <v>2.0404932840960344E-2</v>
      </c>
      <c r="N17" s="71">
        <f t="shared" si="12"/>
        <v>0.44704734067288815</v>
      </c>
      <c r="O17" s="72">
        <f t="shared" si="7"/>
        <v>1</v>
      </c>
      <c r="P17" s="68">
        <f t="shared" si="8"/>
        <v>20509.365196512983</v>
      </c>
      <c r="Q17" s="69">
        <f t="shared" si="0"/>
        <v>1</v>
      </c>
      <c r="R17" s="70">
        <f t="shared" si="1"/>
        <v>23.82634547767476</v>
      </c>
      <c r="S17" s="77">
        <f t="shared" si="2"/>
        <v>679.24187677288501</v>
      </c>
      <c r="T17" s="64">
        <f t="shared" si="9"/>
        <v>281.86123037783432</v>
      </c>
      <c r="W17" s="58"/>
    </row>
    <row r="18" spans="1:23">
      <c r="H18" s="49">
        <f t="shared" si="3"/>
        <v>2032</v>
      </c>
      <c r="I18" s="79">
        <f t="shared" si="10"/>
        <v>28408.856220758225</v>
      </c>
      <c r="J18" s="50">
        <f t="shared" si="4"/>
        <v>209278.57415958552</v>
      </c>
      <c r="K18" s="50">
        <f>IF(H18=Year_Open_to_Traffic?,Calculations!$E$4,K17+(K17*M18))</f>
        <v>188350.71674362695</v>
      </c>
      <c r="L18" s="50">
        <f>IF(AND(H18&gt;=Year_Open_to_Traffic?, Calculations!H18&lt;Year_Open_to_Traffic?+'Inputs &amp; Outputs'!B$21), 1, 0)</f>
        <v>1</v>
      </c>
      <c r="M18" s="65">
        <f t="shared" si="11"/>
        <v>2.0404932840960344E-2</v>
      </c>
      <c r="N18" s="71">
        <f t="shared" si="12"/>
        <v>0.45616931163604835</v>
      </c>
      <c r="O18" s="72">
        <f t="shared" si="7"/>
        <v>1</v>
      </c>
      <c r="P18" s="68">
        <f t="shared" si="8"/>
        <v>20927.85741595857</v>
      </c>
      <c r="Q18" s="69">
        <f t="shared" si="0"/>
        <v>1</v>
      </c>
      <c r="R18" s="70">
        <f t="shared" si="1"/>
        <v>24.374351423661277</v>
      </c>
      <c r="S18" s="77">
        <f t="shared" si="2"/>
        <v>709.04310216918145</v>
      </c>
      <c r="T18" s="64">
        <f t="shared" si="9"/>
        <v>274.97913964561718</v>
      </c>
      <c r="W18" s="58"/>
    </row>
    <row r="19" spans="1:23">
      <c r="H19" s="14">
        <f t="shared" si="3"/>
        <v>2033</v>
      </c>
      <c r="I19" s="79">
        <f t="shared" si="10"/>
        <v>28988.537024031295</v>
      </c>
      <c r="J19" s="50">
        <f t="shared" si="4"/>
        <v>213548.8894103638</v>
      </c>
      <c r="K19" s="50">
        <f>IF(H19=Year_Open_to_Traffic?,Calculations!$E$4,K18+(K18*M19))</f>
        <v>192194.00046932741</v>
      </c>
      <c r="L19" s="50">
        <f>IF(AND(H19&gt;=Year_Open_to_Traffic?, Calculations!H19&lt;Year_Open_to_Traffic?+'Inputs &amp; Outputs'!B$21), 1, 0)</f>
        <v>1</v>
      </c>
      <c r="M19" s="65">
        <f t="shared" si="11"/>
        <v>2.0404932840960344E-2</v>
      </c>
      <c r="N19" s="71">
        <f t="shared" si="12"/>
        <v>0.46547741580408902</v>
      </c>
      <c r="O19" s="72">
        <f t="shared" si="7"/>
        <v>1</v>
      </c>
      <c r="P19" s="68">
        <f t="shared" si="8"/>
        <v>21354.888941036392</v>
      </c>
      <c r="Q19" s="69">
        <f t="shared" si="0"/>
        <v>1</v>
      </c>
      <c r="R19" s="70">
        <f t="shared" si="1"/>
        <v>24.934961506405479</v>
      </c>
      <c r="S19" s="77">
        <f t="shared" si="2"/>
        <v>740.15183386844592</v>
      </c>
      <c r="T19" s="64">
        <f t="shared" si="9"/>
        <v>268.26508611661126</v>
      </c>
      <c r="W19" s="58"/>
    </row>
    <row r="20" spans="1:23">
      <c r="H20" s="49">
        <f t="shared" si="3"/>
        <v>2034</v>
      </c>
      <c r="I20" s="79">
        <f t="shared" si="10"/>
        <v>29580.046175164345</v>
      </c>
      <c r="J20" s="50">
        <f t="shared" si="4"/>
        <v>217906.34015704395</v>
      </c>
      <c r="K20" s="50">
        <f>IF(H20=Year_Open_to_Traffic?,Calculations!$E$4,K19+(K19*M20))</f>
        <v>196115.70614133953</v>
      </c>
      <c r="L20" s="50">
        <f>IF(AND(H20&gt;=Year_Open_to_Traffic?, Calculations!H20&lt;Year_Open_to_Traffic?+'Inputs &amp; Outputs'!B$21), 1, 0)</f>
        <v>1</v>
      </c>
      <c r="M20" s="65">
        <f t="shared" si="11"/>
        <v>2.0404932840960344E-2</v>
      </c>
      <c r="N20" s="71">
        <f t="shared" si="12"/>
        <v>0.47497545121255524</v>
      </c>
      <c r="O20" s="72">
        <f t="shared" si="7"/>
        <v>1</v>
      </c>
      <c r="P20" s="68">
        <f t="shared" si="8"/>
        <v>21790.634015704418</v>
      </c>
      <c r="Q20" s="69">
        <f t="shared" si="0"/>
        <v>1</v>
      </c>
      <c r="R20" s="70">
        <f t="shared" si="1"/>
        <v>25.508465621052807</v>
      </c>
      <c r="S20" s="77">
        <f t="shared" si="2"/>
        <v>772.62543772425045</v>
      </c>
      <c r="T20" s="64">
        <f t="shared" si="9"/>
        <v>261.71496689494433</v>
      </c>
      <c r="W20" s="58"/>
    </row>
    <row r="21" spans="1:23">
      <c r="H21" s="14">
        <f t="shared" si="3"/>
        <v>2035</v>
      </c>
      <c r="I21" s="79">
        <f t="shared" si="10"/>
        <v>30183.625030801079</v>
      </c>
      <c r="J21" s="50">
        <f t="shared" si="4"/>
        <v>222352.7043935679</v>
      </c>
      <c r="K21" s="50">
        <f>IF(H21=Year_Open_to_Traffic?,Calculations!$E$4,K20+(K20*M21))</f>
        <v>200117.43395421107</v>
      </c>
      <c r="L21" s="50">
        <f>IF(AND(H21&gt;=Year_Open_to_Traffic?, Calculations!H21&lt;Year_Open_to_Traffic?+'Inputs &amp; Outputs'!B$21), 1, 0)</f>
        <v>1</v>
      </c>
      <c r="M21" s="65">
        <f t="shared" si="11"/>
        <v>2.0404932840960344E-2</v>
      </c>
      <c r="N21" s="71">
        <f t="shared" si="12"/>
        <v>0.48466729339565229</v>
      </c>
      <c r="O21" s="72">
        <f t="shared" si="7"/>
        <v>1</v>
      </c>
      <c r="P21" s="68">
        <f t="shared" si="8"/>
        <v>22235.270439356827</v>
      </c>
      <c r="Q21" s="69">
        <f t="shared" si="0"/>
        <v>1</v>
      </c>
      <c r="R21" s="70">
        <f t="shared" si="1"/>
        <v>26.095160330337016</v>
      </c>
      <c r="S21" s="77">
        <f t="shared" si="2"/>
        <v>806.52379647375324</v>
      </c>
      <c r="T21" s="64">
        <f t="shared" si="9"/>
        <v>255.32477926347846</v>
      </c>
      <c r="W21" s="58"/>
    </row>
    <row r="22" spans="1:23">
      <c r="H22" s="49">
        <f>H21+1</f>
        <v>2036</v>
      </c>
      <c r="I22" s="79">
        <f t="shared" si="10"/>
        <v>30799.519872451303</v>
      </c>
      <c r="J22" s="50">
        <f t="shared" si="4"/>
        <v>226889.79639372457</v>
      </c>
      <c r="K22" s="50">
        <f>IF(H22=Year_Open_to_Traffic?,Calculations!$E$4,K21+(K21*M22))</f>
        <v>204200.81675435207</v>
      </c>
      <c r="L22" s="50">
        <f>IF(AND(H22&gt;=Year_Open_to_Traffic?, Calculations!H22&lt;Year_Open_to_Traffic?+'Inputs &amp; Outputs'!B$21), 1, 0)</f>
        <v>1</v>
      </c>
      <c r="M22" s="65">
        <f t="shared" si="11"/>
        <v>2.0404932840960344E-2</v>
      </c>
      <c r="N22" s="71">
        <f t="shared" si="12"/>
        <v>0.49455689696760058</v>
      </c>
      <c r="O22" s="72">
        <f t="shared" si="7"/>
        <v>1</v>
      </c>
      <c r="P22" s="68">
        <f t="shared" si="8"/>
        <v>22688.979639372497</v>
      </c>
      <c r="Q22" s="69">
        <f t="shared" si="0"/>
        <v>1</v>
      </c>
      <c r="R22" s="70">
        <f t="shared" si="1"/>
        <v>26.695349017934767</v>
      </c>
      <c r="S22" s="77">
        <f t="shared" si="2"/>
        <v>841.90942016407166</v>
      </c>
      <c r="T22" s="64">
        <f t="shared" si="9"/>
        <v>249.09061823778822</v>
      </c>
      <c r="W22" s="58"/>
    </row>
    <row r="23" spans="1:23">
      <c r="H23" s="14">
        <f t="shared" si="3"/>
        <v>2037</v>
      </c>
      <c r="I23" s="79">
        <f t="shared" si="10"/>
        <v>31427.982006982496</v>
      </c>
      <c r="J23" s="50">
        <f t="shared" si="4"/>
        <v>231519.46745143767</v>
      </c>
      <c r="K23" s="50">
        <f>IF(H23=Year_Open_to_Traffic?,Calculations!$E$4,K22+(K22*M23))</f>
        <v>208367.52070629387</v>
      </c>
      <c r="L23" s="50">
        <f>IF(AND(H23&gt;=Year_Open_to_Traffic?, Calculations!H23&lt;Year_Open_to_Traffic?+'Inputs &amp; Outputs'!B$21), 1, 0)</f>
        <v>1</v>
      </c>
      <c r="M23" s="65">
        <f t="shared" si="11"/>
        <v>2.0404932840960344E-2</v>
      </c>
      <c r="N23" s="71">
        <f t="shared" si="12"/>
        <v>0.50464829723625826</v>
      </c>
      <c r="O23" s="72">
        <f t="shared" si="7"/>
        <v>1</v>
      </c>
      <c r="P23" s="68">
        <f t="shared" si="8"/>
        <v>23151.946745143796</v>
      </c>
      <c r="Q23" s="69">
        <f t="shared" si="0"/>
        <v>1</v>
      </c>
      <c r="R23" s="70">
        <f t="shared" si="1"/>
        <v>27.309342045347261</v>
      </c>
      <c r="S23" s="77">
        <f t="shared" si="2"/>
        <v>878.8475614235266</v>
      </c>
      <c r="T23" s="64">
        <f t="shared" si="9"/>
        <v>243.00867417986069</v>
      </c>
      <c r="W23" s="58"/>
    </row>
    <row r="24" spans="1:23">
      <c r="H24" s="49">
        <f t="shared" si="3"/>
        <v>2038</v>
      </c>
      <c r="I24" s="79">
        <f t="shared" si="10"/>
        <v>32069.267869161886</v>
      </c>
      <c r="J24" s="50">
        <f t="shared" si="4"/>
        <v>236243.60663615915</v>
      </c>
      <c r="K24" s="50">
        <f>IF(H24=Year_Open_to_Traffic?,Calculations!$E$4,K23+(K23*M24))</f>
        <v>212619.2459725432</v>
      </c>
      <c r="L24" s="50">
        <f>IF(AND(H24&gt;=Year_Open_to_Traffic?, Calculations!H24&lt;Year_Open_to_Traffic?+'Inputs &amp; Outputs'!B$21), 1, 0)</f>
        <v>1</v>
      </c>
      <c r="M24" s="65">
        <f t="shared" si="11"/>
        <v>2.0404932840960344E-2</v>
      </c>
      <c r="N24" s="71">
        <f t="shared" si="12"/>
        <v>0.51494561184966914</v>
      </c>
      <c r="O24" s="72">
        <f t="shared" si="7"/>
        <v>1</v>
      </c>
      <c r="P24" s="68">
        <f>(J24-K24)*L24</f>
        <v>23624.360663615953</v>
      </c>
      <c r="Q24" s="69">
        <f t="shared" si="0"/>
        <v>1</v>
      </c>
      <c r="R24" s="70">
        <f t="shared" si="1"/>
        <v>27.93745691239025</v>
      </c>
      <c r="S24" s="77">
        <f t="shared" si="2"/>
        <v>917.40633579032738</v>
      </c>
      <c r="T24" s="64">
        <f t="shared" si="9"/>
        <v>237.07523047006157</v>
      </c>
      <c r="W24" s="58"/>
    </row>
    <row r="25" spans="1:23">
      <c r="H25" s="14">
        <f t="shared" si="3"/>
        <v>2039</v>
      </c>
      <c r="I25" s="79">
        <f t="shared" si="10"/>
        <v>32723.639126290902</v>
      </c>
      <c r="J25" s="50">
        <f t="shared" si="4"/>
        <v>241064.14156367624</v>
      </c>
      <c r="K25" s="50">
        <f>IF(H25=Year_Open_to_Traffic?,Calculations!$E$4,K24+(K24*M25))</f>
        <v>216957.72740730856</v>
      </c>
      <c r="L25" s="50">
        <f>IF(AND(H25&gt;=Year_Open_to_Traffic?, Calculations!H25&lt;Year_Open_to_Traffic?+'Inputs &amp; Outputs'!B$21), 1, 0)</f>
        <v>1</v>
      </c>
      <c r="M25" s="65">
        <f t="shared" si="11"/>
        <v>2.0404932840960344E-2</v>
      </c>
      <c r="N25" s="71">
        <f t="shared" si="12"/>
        <v>0.52545304247620883</v>
      </c>
      <c r="O25" s="72">
        <f t="shared" si="7"/>
        <v>1</v>
      </c>
      <c r="P25" s="68">
        <f t="shared" si="8"/>
        <v>24106.414156367682</v>
      </c>
      <c r="Q25" s="69">
        <f t="shared" si="0"/>
        <v>1</v>
      </c>
      <c r="R25" s="70">
        <f t="shared" si="1"/>
        <v>28.580018421375218</v>
      </c>
      <c r="S25" s="77">
        <f t="shared" si="2"/>
        <v>957.65684732058116</v>
      </c>
      <c r="T25" s="64">
        <f t="shared" si="9"/>
        <v>231.28666123594195</v>
      </c>
      <c r="W25" s="58"/>
    </row>
    <row r="26" spans="1:23">
      <c r="H26" s="49">
        <f t="shared" si="3"/>
        <v>2040</v>
      </c>
      <c r="I26" s="79">
        <f t="shared" si="10"/>
        <v>33391.362784974692</v>
      </c>
      <c r="J26" s="50">
        <f t="shared" si="4"/>
        <v>245983.03918264681</v>
      </c>
      <c r="K26" s="50">
        <f>IF(H26=Year_Open_to_Traffic?,Calculations!$E$4,K25+(K25*M26))</f>
        <v>221384.73526438206</v>
      </c>
      <c r="L26" s="50">
        <f>IF(AND(H26&gt;=Year_Open_to_Traffic?, Calculations!H26&lt;Year_Open_to_Traffic?+'Inputs &amp; Outputs'!B$21), 1, 0)</f>
        <v>1</v>
      </c>
      <c r="M26" s="65">
        <f t="shared" si="11"/>
        <v>2.0404932840960344E-2</v>
      </c>
      <c r="N26" s="71">
        <f t="shared" si="12"/>
        <v>0.53617487651901419</v>
      </c>
      <c r="O26" s="72">
        <f t="shared" si="7"/>
        <v>1</v>
      </c>
      <c r="P26" s="68">
        <f t="shared" si="8"/>
        <v>24598.303918264748</v>
      </c>
      <c r="Q26" s="69">
        <f t="shared" si="0"/>
        <v>1</v>
      </c>
      <c r="R26" s="70">
        <f t="shared" si="1"/>
        <v>29.237358845066851</v>
      </c>
      <c r="S26" s="77">
        <f t="shared" si="2"/>
        <v>999.67331970726525</v>
      </c>
      <c r="T26" s="64">
        <f t="shared" si="9"/>
        <v>225.63942913650209</v>
      </c>
      <c r="W26" s="58"/>
    </row>
    <row r="27" spans="1:23">
      <c r="H27" s="14">
        <f t="shared" si="3"/>
        <v>2041</v>
      </c>
      <c r="I27" s="79">
        <f t="shared" si="10"/>
        <v>34072.711300070245</v>
      </c>
      <c r="J27" s="50">
        <f t="shared" si="4"/>
        <v>251002.30657718403</v>
      </c>
      <c r="K27" s="50">
        <f>IF(H27=Year_Open_to_Traffic?,Calculations!$E$4,K26+(K26*M27))</f>
        <v>225902.07591946557</v>
      </c>
      <c r="L27" s="50">
        <f>IF(AND(H27&gt;=Year_Open_to_Traffic?, Calculations!H27&lt;Year_Open_to_Traffic?+'Inputs &amp; Outputs'!B$21), 1, 0)</f>
        <v>1</v>
      </c>
      <c r="M27" s="65">
        <f t="shared" si="11"/>
        <v>2.0404932840960344E-2</v>
      </c>
      <c r="N27" s="71">
        <f t="shared" si="12"/>
        <v>0.54711548886539485</v>
      </c>
      <c r="O27" s="72">
        <f t="shared" si="7"/>
        <v>1</v>
      </c>
      <c r="P27" s="68">
        <f t="shared" si="8"/>
        <v>25100.230657718464</v>
      </c>
      <c r="Q27" s="69">
        <f t="shared" si="0"/>
        <v>1</v>
      </c>
      <c r="R27" s="70">
        <f t="shared" si="1"/>
        <v>29.909818098503379</v>
      </c>
      <c r="S27" s="77">
        <f t="shared" si="2"/>
        <v>1043.5332331519435</v>
      </c>
      <c r="T27" s="64">
        <f t="shared" si="9"/>
        <v>220.13008320055505</v>
      </c>
      <c r="W27" s="58"/>
    </row>
    <row r="28" spans="1:23">
      <c r="H28" s="49">
        <f t="shared" si="3"/>
        <v>2042</v>
      </c>
      <c r="I28" s="79">
        <f t="shared" si="10"/>
        <v>34767.962685857608</v>
      </c>
      <c r="J28" s="50">
        <f t="shared" si="4"/>
        <v>256123.9917858176</v>
      </c>
      <c r="K28" s="50">
        <f>IF(H28=Year_Open_to_Traffic?,Calculations!$E$4,K27+(K27*M28))</f>
        <v>230511.5926072358</v>
      </c>
      <c r="L28" s="50">
        <f>IF(AND(H28&gt;=Year_Open_to_Traffic?, Calculations!H28&lt;Year_Open_to_Traffic?+'Inputs &amp; Outputs'!B$21), 1, 0)</f>
        <v>0</v>
      </c>
      <c r="M28" s="65">
        <f t="shared" si="11"/>
        <v>2.0404932840960344E-2</v>
      </c>
      <c r="N28" s="71">
        <f t="shared" si="12"/>
        <v>0.55827934367194243</v>
      </c>
      <c r="O28" s="72">
        <f t="shared" si="7"/>
        <v>1</v>
      </c>
      <c r="P28" s="68">
        <f t="shared" si="8"/>
        <v>0</v>
      </c>
      <c r="Q28" s="69">
        <f t="shared" si="0"/>
        <v>0</v>
      </c>
      <c r="R28" s="70">
        <f t="shared" si="1"/>
        <v>30.597743914768959</v>
      </c>
      <c r="S28" s="77">
        <f t="shared" si="2"/>
        <v>0</v>
      </c>
      <c r="T28" s="64">
        <f t="shared" si="9"/>
        <v>0</v>
      </c>
      <c r="W28" s="58"/>
    </row>
    <row r="29" spans="1:23">
      <c r="H29" s="14">
        <f t="shared" si="3"/>
        <v>2043</v>
      </c>
      <c r="I29" s="79">
        <f t="shared" si="10"/>
        <v>35477.400629479547</v>
      </c>
      <c r="J29" s="50">
        <f t="shared" si="4"/>
        <v>261350.18463716589</v>
      </c>
      <c r="K29" s="50">
        <f>IF(H29=Year_Open_to_Traffic?,Calculations!$E$4,K28+(K28*M29))</f>
        <v>235215.16617344925</v>
      </c>
      <c r="L29" s="50">
        <f>IF(AND(H29&gt;=Year_Open_to_Traffic?, Calculations!H29&lt;Year_Open_to_Traffic?+'Inputs &amp; Outputs'!B$21), 1, 0)</f>
        <v>0</v>
      </c>
      <c r="M29" s="65">
        <f t="shared" si="11"/>
        <v>2.0404932840960344E-2</v>
      </c>
      <c r="N29" s="71">
        <f t="shared" si="12"/>
        <v>0.56967099618606387</v>
      </c>
      <c r="O29" s="72">
        <f t="shared" si="7"/>
        <v>1</v>
      </c>
      <c r="P29" s="68">
        <f t="shared" si="8"/>
        <v>0</v>
      </c>
      <c r="Q29" s="69">
        <f t="shared" si="0"/>
        <v>0</v>
      </c>
      <c r="R29" s="70">
        <f t="shared" si="1"/>
        <v>31.301492024808638</v>
      </c>
      <c r="S29" s="77">
        <f t="shared" si="2"/>
        <v>0</v>
      </c>
      <c r="T29" s="64">
        <f t="shared" si="9"/>
        <v>0</v>
      </c>
      <c r="W29" s="58"/>
    </row>
    <row r="30" spans="1:23">
      <c r="H30" s="14">
        <f t="shared" si="3"/>
        <v>2044</v>
      </c>
      <c r="I30" s="79">
        <f t="shared" si="10"/>
        <v>36201.314606695923</v>
      </c>
      <c r="J30" s="50">
        <f t="shared" si="4"/>
        <v>266683.01760265982</v>
      </c>
      <c r="K30" s="50">
        <f>IF(H30=Year_Open_to_Traffic?,Calculations!$E$4,K29+(K29*M30))</f>
        <v>240014.71584239381</v>
      </c>
      <c r="L30" s="50">
        <f>IF(AND(H30&gt;=Year_Open_to_Traffic?, Calculations!H30&lt;Year_Open_to_Traffic?+'Inputs &amp; Outputs'!B$21), 1, 0)</f>
        <v>0</v>
      </c>
      <c r="M30" s="65">
        <f t="shared" si="11"/>
        <v>2.0404932840960344E-2</v>
      </c>
      <c r="N30" s="71">
        <f t="shared" si="12"/>
        <v>0.58129509460468343</v>
      </c>
      <c r="O30" s="72">
        <f t="shared" si="7"/>
        <v>1</v>
      </c>
      <c r="P30" s="68">
        <f t="shared" si="8"/>
        <v>0</v>
      </c>
      <c r="Q30" s="69">
        <f t="shared" si="0"/>
        <v>0</v>
      </c>
      <c r="R30" s="70">
        <f t="shared" si="1"/>
        <v>32.021426341379232</v>
      </c>
      <c r="S30" s="77">
        <f t="shared" si="2"/>
        <v>0</v>
      </c>
      <c r="T30" s="64">
        <f t="shared" si="9"/>
        <v>0</v>
      </c>
      <c r="W30" s="58"/>
    </row>
    <row r="31" spans="1:23">
      <c r="H31" s="14">
        <f t="shared" si="3"/>
        <v>2045</v>
      </c>
      <c r="I31" s="79">
        <f t="shared" si="10"/>
        <v>36940.000000000029</v>
      </c>
      <c r="J31" s="50">
        <f t="shared" si="4"/>
        <v>272124.66666666674</v>
      </c>
      <c r="K31" s="50">
        <f>IF(H31=Year_Open_to_Traffic?,Calculations!$E$4,K30+(K30*M31))</f>
        <v>244912.20000000004</v>
      </c>
      <c r="L31" s="50">
        <f>IF(AND(H31&gt;=Year_Open_to_Traffic?, Calculations!H31&lt;Year_Open_to_Traffic?+'Inputs &amp; Outputs'!B$21), 1, 0)</f>
        <v>0</v>
      </c>
      <c r="M31" s="65">
        <f t="shared" si="11"/>
        <v>2.0404932840960344E-2</v>
      </c>
      <c r="N31" s="71">
        <f t="shared" si="12"/>
        <v>0.59315638197087173</v>
      </c>
      <c r="O31" s="72">
        <f t="shared" si="7"/>
        <v>1</v>
      </c>
      <c r="P31" s="68">
        <f t="shared" si="8"/>
        <v>0</v>
      </c>
      <c r="Q31" s="69">
        <f t="shared" si="0"/>
        <v>0</v>
      </c>
      <c r="R31" s="70">
        <f t="shared" si="1"/>
        <v>32.757919147230957</v>
      </c>
      <c r="S31" s="77">
        <f t="shared" si="2"/>
        <v>0</v>
      </c>
      <c r="T31" s="64">
        <f t="shared" si="9"/>
        <v>0</v>
      </c>
      <c r="W31" s="58"/>
    </row>
    <row r="32" spans="1:23">
      <c r="H32" s="14">
        <f t="shared" si="3"/>
        <v>2046</v>
      </c>
      <c r="I32" s="79">
        <f t="shared" si="10"/>
        <v>37693.758219145107</v>
      </c>
      <c r="J32" s="50">
        <f t="shared" si="4"/>
        <v>277677.35221436882</v>
      </c>
      <c r="K32" s="50">
        <f>IF(H32=Year_Open_to_Traffic?,Calculations!$E$4,K31+(K31*M32))</f>
        <v>249909.6169929319</v>
      </c>
      <c r="L32" s="50">
        <f>IF(AND(H32&gt;=Year_Open_to_Traffic?, Calculations!H32&lt;Year_Open_to_Traffic?+'Inputs &amp; Outputs'!B$21), 1, 0)</f>
        <v>0</v>
      </c>
      <c r="M32" s="65">
        <f t="shared" si="11"/>
        <v>2.0404932840960344E-2</v>
      </c>
      <c r="N32" s="71">
        <f t="shared" si="12"/>
        <v>0.60525969810917435</v>
      </c>
      <c r="O32" s="72">
        <f t="shared" si="7"/>
        <v>1</v>
      </c>
      <c r="P32" s="68">
        <f t="shared" si="8"/>
        <v>0</v>
      </c>
      <c r="Q32" s="69">
        <f t="shared" si="0"/>
        <v>0</v>
      </c>
      <c r="R32" s="70">
        <f t="shared" si="1"/>
        <v>33.511351287617266</v>
      </c>
      <c r="S32" s="77">
        <f t="shared" si="2"/>
        <v>0</v>
      </c>
      <c r="T32" s="64">
        <f t="shared" si="9"/>
        <v>0</v>
      </c>
      <c r="W32" s="58"/>
    </row>
    <row r="33" spans="8:23">
      <c r="H33" s="14">
        <f t="shared" si="3"/>
        <v>2047</v>
      </c>
      <c r="I33" s="79">
        <f t="shared" si="10"/>
        <v>38462.896824130163</v>
      </c>
      <c r="J33" s="50">
        <f t="shared" si="4"/>
        <v>283343.33993775869</v>
      </c>
      <c r="K33" s="50">
        <f>IF(H33=Year_Open_to_Traffic?,Calculations!$E$4,K32+(K32*M33))</f>
        <v>255009.0059439828</v>
      </c>
      <c r="L33" s="50">
        <f>IF(AND(H33&gt;=Year_Open_to_Traffic?, Calculations!H33&lt;Year_Open_to_Traffic?+'Inputs &amp; Outputs'!B$21), 1, 0)</f>
        <v>0</v>
      </c>
      <c r="M33" s="65">
        <f t="shared" si="11"/>
        <v>2.0404932840960344E-2</v>
      </c>
      <c r="N33" s="71">
        <f t="shared" si="12"/>
        <v>0.61760998160043201</v>
      </c>
      <c r="O33" s="72">
        <f t="shared" si="7"/>
        <v>1</v>
      </c>
      <c r="P33" s="68">
        <f t="shared" si="8"/>
        <v>0</v>
      </c>
      <c r="Q33" s="69">
        <f t="shared" si="0"/>
        <v>0</v>
      </c>
      <c r="R33" s="70">
        <f t="shared" si="1"/>
        <v>34.282112367232457</v>
      </c>
      <c r="S33" s="77">
        <f t="shared" si="2"/>
        <v>0</v>
      </c>
      <c r="T33" s="64">
        <f t="shared" si="9"/>
        <v>0</v>
      </c>
      <c r="W33" s="58"/>
    </row>
    <row r="34" spans="8:23">
      <c r="H34" s="14">
        <f t="shared" si="3"/>
        <v>2048</v>
      </c>
      <c r="I34" s="79">
        <f t="shared" si="10"/>
        <v>39247.729650695328</v>
      </c>
      <c r="J34" s="50">
        <f t="shared" si="4"/>
        <v>289124.94176012208</v>
      </c>
      <c r="K34" s="50">
        <f>IF(H34=Year_Open_to_Traffic?,Calculations!$E$4,K33+(K33*M34))</f>
        <v>260212.44758410982</v>
      </c>
      <c r="L34" s="50">
        <f>IF(AND(H34&gt;=Year_Open_to_Traffic?, Calculations!H34&lt;Year_Open_to_Traffic?+'Inputs &amp; Outputs'!B$21), 1, 0)</f>
        <v>0</v>
      </c>
      <c r="M34" s="65">
        <f t="shared" si="11"/>
        <v>2.0404932840960344E-2</v>
      </c>
      <c r="N34" s="71">
        <f t="shared" si="12"/>
        <v>0.63021227179689554</v>
      </c>
      <c r="O34" s="72">
        <f t="shared" si="7"/>
        <v>1</v>
      </c>
      <c r="P34" s="68">
        <f t="shared" si="8"/>
        <v>0</v>
      </c>
      <c r="Q34" s="69">
        <f t="shared" si="0"/>
        <v>0</v>
      </c>
      <c r="R34" s="70">
        <f t="shared" si="1"/>
        <v>35.070600951678806</v>
      </c>
      <c r="S34" s="77">
        <f t="shared" si="2"/>
        <v>0</v>
      </c>
      <c r="T34" s="64">
        <f t="shared" si="9"/>
        <v>0</v>
      </c>
      <c r="W34" s="58"/>
    </row>
    <row r="35" spans="8:23">
      <c r="H35" s="14">
        <f t="shared" si="3"/>
        <v>2049</v>
      </c>
      <c r="I35" s="79">
        <f t="shared" si="10"/>
        <v>40048.576938377933</v>
      </c>
      <c r="J35" s="50">
        <f t="shared" si="4"/>
        <v>295024.51677938394</v>
      </c>
      <c r="K35" s="50">
        <f>IF(H35=Year_Open_to_Traffic?,Calculations!$E$4,K34+(K34*M35))</f>
        <v>265522.06510144548</v>
      </c>
      <c r="L35" s="50">
        <f>IF(AND(H35&gt;=Year_Open_to_Traffic?, Calculations!H35&lt;Year_Open_to_Traffic?+'Inputs &amp; Outputs'!B$21), 1, 0)</f>
        <v>0</v>
      </c>
      <c r="M35" s="65">
        <f t="shared" si="11"/>
        <v>2.0404932840960344E-2</v>
      </c>
      <c r="N35" s="71">
        <f t="shared" si="12"/>
        <v>0.64307171087846027</v>
      </c>
      <c r="O35" s="72">
        <f t="shared" si="7"/>
        <v>1</v>
      </c>
      <c r="P35" s="68">
        <f t="shared" si="8"/>
        <v>0</v>
      </c>
      <c r="Q35" s="69">
        <f t="shared" si="0"/>
        <v>0</v>
      </c>
      <c r="R35" s="70">
        <f t="shared" si="1"/>
        <v>35.877224773567399</v>
      </c>
      <c r="S35" s="77">
        <f t="shared" si="2"/>
        <v>0</v>
      </c>
      <c r="T35" s="64">
        <f t="shared" si="9"/>
        <v>0</v>
      </c>
      <c r="W35" s="58"/>
    </row>
    <row r="36" spans="8:23">
      <c r="H36" s="14">
        <f t="shared" si="3"/>
        <v>2050</v>
      </c>
      <c r="I36" s="79">
        <f t="shared" si="10"/>
        <v>40865.765461181567</v>
      </c>
      <c r="J36" s="50">
        <f t="shared" si="4"/>
        <v>301044.47223070404</v>
      </c>
      <c r="K36" s="50">
        <f>IF(H36=Year_Open_to_Traffic?,Calculations!$E$4,K35+(K35*M36))</f>
        <v>270940.02500763355</v>
      </c>
      <c r="L36" s="50">
        <f>IF(AND(H36&gt;=Year_Open_to_Traffic?, Calculations!H36&lt;Year_Open_to_Traffic?+'Inputs &amp; Outputs'!B$21), 1, 0)</f>
        <v>0</v>
      </c>
      <c r="M36" s="65">
        <f t="shared" si="11"/>
        <v>2.0404932840960344E-2</v>
      </c>
      <c r="N36" s="71">
        <f t="shared" si="12"/>
        <v>0.65619354595085677</v>
      </c>
      <c r="O36" s="72">
        <f t="shared" si="7"/>
        <v>1</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5607.9262307968347</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4.4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4.4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28.9">
      <c r="B4" s="62" t="s">
        <v>149</v>
      </c>
      <c r="C4" s="62" t="s">
        <v>150</v>
      </c>
      <c r="D4" s="124"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55</v>
      </c>
    </row>
    <row r="6" spans="2:14">
      <c r="B6" s="73" t="s">
        <v>158</v>
      </c>
      <c r="C6" s="81">
        <v>0.3</v>
      </c>
      <c r="D6" s="74">
        <v>0.2</v>
      </c>
      <c r="E6" s="74">
        <v>0.1</v>
      </c>
      <c r="F6" s="74">
        <v>0.3</v>
      </c>
      <c r="G6" s="91">
        <v>0.2</v>
      </c>
      <c r="H6" s="93"/>
      <c r="L6" s="44" t="s">
        <v>159</v>
      </c>
      <c r="N6" s="44" t="s">
        <v>124</v>
      </c>
    </row>
    <row r="7" spans="2:14">
      <c r="B7" s="73" t="s">
        <v>160</v>
      </c>
      <c r="C7" s="81">
        <v>0.3</v>
      </c>
      <c r="D7" s="74">
        <v>0.2</v>
      </c>
      <c r="E7" s="74">
        <v>0.15</v>
      </c>
      <c r="F7" s="74">
        <v>0.3</v>
      </c>
      <c r="G7" s="91">
        <v>0.25</v>
      </c>
      <c r="H7" s="93"/>
      <c r="L7" s="44" t="s">
        <v>161</v>
      </c>
    </row>
    <row r="8" spans="2:14">
      <c r="B8" s="73" t="s">
        <v>162</v>
      </c>
      <c r="C8" s="81">
        <v>0.2</v>
      </c>
      <c r="D8" s="74">
        <v>0.02</v>
      </c>
      <c r="E8" s="74">
        <v>0.02</v>
      </c>
      <c r="F8" s="74">
        <v>0.2</v>
      </c>
      <c r="G8" s="91">
        <v>0.15</v>
      </c>
      <c r="H8" s="93"/>
      <c r="L8" s="44" t="s">
        <v>163</v>
      </c>
    </row>
    <row r="9" spans="2:14">
      <c r="B9" s="73" t="s">
        <v>164</v>
      </c>
      <c r="C9" s="81">
        <v>0.2</v>
      </c>
      <c r="D9" s="74">
        <v>0.02</v>
      </c>
      <c r="E9" s="74">
        <v>0.02</v>
      </c>
      <c r="F9" s="74">
        <v>0.2</v>
      </c>
      <c r="G9" s="91">
        <v>0.15</v>
      </c>
      <c r="H9" s="93"/>
      <c r="L9" s="44" t="s">
        <v>52</v>
      </c>
    </row>
    <row r="10" spans="2:14">
      <c r="B10" s="73" t="s">
        <v>165</v>
      </c>
      <c r="C10" s="81">
        <v>0.3</v>
      </c>
      <c r="D10" s="74">
        <v>0.1</v>
      </c>
      <c r="E10" s="74">
        <v>0.1</v>
      </c>
      <c r="F10" s="74">
        <v>0.3</v>
      </c>
      <c r="G10" s="91">
        <v>0.22</v>
      </c>
      <c r="H10" s="93"/>
      <c r="L10" s="44" t="s">
        <v>166</v>
      </c>
    </row>
    <row r="11" spans="2:14">
      <c r="B11" s="73" t="s">
        <v>167</v>
      </c>
      <c r="C11" s="81">
        <v>0.4</v>
      </c>
      <c r="D11" s="74">
        <v>0.2</v>
      </c>
      <c r="E11" s="74">
        <v>0.12</v>
      </c>
      <c r="F11" s="74">
        <v>0.4</v>
      </c>
      <c r="G11" s="91">
        <v>0.3</v>
      </c>
      <c r="H11" s="93"/>
      <c r="L11" s="44" t="s">
        <v>168</v>
      </c>
    </row>
    <row r="12" spans="2:14">
      <c r="B12" s="73" t="s">
        <v>169</v>
      </c>
      <c r="C12" s="81">
        <v>0.2</v>
      </c>
      <c r="D12" s="74">
        <v>0.2</v>
      </c>
      <c r="E12" s="74">
        <v>0.12</v>
      </c>
      <c r="F12" s="74">
        <v>0.4</v>
      </c>
      <c r="G12" s="91">
        <v>0.3</v>
      </c>
      <c r="H12" s="93"/>
      <c r="L12" s="44" t="s">
        <v>170</v>
      </c>
    </row>
    <row r="13" spans="2:14">
      <c r="B13" s="73" t="s">
        <v>73</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6EB8E8-0C32-46F8-9AA4-DF14C9F82ACA}"/>
</file>

<file path=customXml/itemProps2.xml><?xml version="1.0" encoding="utf-8"?>
<ds:datastoreItem xmlns:ds="http://schemas.openxmlformats.org/officeDocument/2006/customXml" ds:itemID="{4C66742C-DB1C-4101-8F55-92AA546DF7AF}"/>
</file>

<file path=customXml/itemProps3.xml><?xml version="1.0" encoding="utf-8"?>
<ds:datastoreItem xmlns:ds="http://schemas.openxmlformats.org/officeDocument/2006/customXml" ds:itemID="{03CE9E3A-1935-40BE-8EE8-4E5C65F5C18E}"/>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Andrew Mao</cp:lastModifiedBy>
  <cp:revision/>
  <dcterms:created xsi:type="dcterms:W3CDTF">2012-07-25T15:48:32Z</dcterms:created>
  <dcterms:modified xsi:type="dcterms:W3CDTF">2018-10-31T01:30:29Z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