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CC - SBCT Facility\"/>
    </mc:Choice>
  </mc:AlternateContent>
  <xr:revisionPtr revIDLastSave="0" documentId="13_ncr:1_{3655E000-47E9-47FC-B1E3-D4A091C31571}"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c r="S36" i="15"/>
  <c r="T36" i="15"/>
  <c r="U36" i="15"/>
  <c r="V36" i="15"/>
  <c r="W36" i="15"/>
  <c r="X36" i="15"/>
  <c r="N36" i="15"/>
  <c r="O35" i="15"/>
  <c r="O34" i="15"/>
  <c r="O33" i="15"/>
  <c r="O32" i="15"/>
  <c r="O31" i="15"/>
  <c r="O30" i="15"/>
  <c r="O29" i="15"/>
  <c r="O28" i="15"/>
  <c r="N22" i="15"/>
  <c r="O21" i="15"/>
  <c r="O20" i="15"/>
  <c r="O19" i="15"/>
  <c r="O18" i="15"/>
  <c r="O17" i="15"/>
  <c r="O16" i="15"/>
  <c r="O15" i="15"/>
  <c r="O14" i="15"/>
  <c r="O22" i="15"/>
  <c r="B5" i="12"/>
  <c r="E15" i="12"/>
  <c r="E14" i="12"/>
  <c r="E13" i="12"/>
  <c r="E12" i="12"/>
  <c r="E11" i="12"/>
  <c r="E10" i="12"/>
  <c r="O36" i="15"/>
  <c r="C11" i="2"/>
  <c r="Q4" i="12"/>
  <c r="B11" i="12"/>
  <c r="B12" i="12"/>
  <c r="E4" i="12"/>
  <c r="E5" i="12"/>
  <c r="E6" i="12"/>
  <c r="E20" i="12"/>
  <c r="E24" i="12"/>
  <c r="E21" i="12"/>
  <c r="E22" i="12"/>
  <c r="E23" i="12"/>
  <c r="E19" i="12"/>
  <c r="X22" i="15"/>
  <c r="W22" i="15"/>
  <c r="W38" i="15"/>
  <c r="V22" i="15"/>
  <c r="V38" i="15"/>
  <c r="U22" i="15"/>
  <c r="U38" i="15"/>
  <c r="T22" i="15"/>
  <c r="T38" i="15"/>
  <c r="S22" i="15"/>
  <c r="S38" i="15"/>
  <c r="R22" i="15"/>
  <c r="R38" i="15"/>
  <c r="X38" i="15"/>
  <c r="B13" i="12"/>
  <c r="B15" i="12"/>
  <c r="B14" i="12"/>
  <c r="B10" i="12"/>
  <c r="I24" i="9"/>
  <c r="H24" i="9"/>
  <c r="G24" i="9"/>
  <c r="F24" i="9"/>
  <c r="E24" i="9"/>
  <c r="D24" i="9"/>
  <c r="R4" i="12"/>
  <c r="B17" i="12"/>
  <c r="O4" i="12"/>
  <c r="P4" i="12"/>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c r="O5" i="12"/>
  <c r="P5" i="12"/>
  <c r="Q5" i="12"/>
  <c r="M6" i="12"/>
  <c r="R6" i="12"/>
  <c r="O6" i="12"/>
  <c r="P6" i="12"/>
  <c r="Q6" i="12"/>
  <c r="M7" i="12"/>
  <c r="C21" i="2"/>
  <c r="B18" i="5"/>
  <c r="E17" i="5"/>
  <c r="C22" i="2"/>
  <c r="B19" i="5"/>
  <c r="E18" i="5"/>
  <c r="G4" i="7"/>
  <c r="G5" i="7"/>
  <c r="G4" i="5"/>
  <c r="G5" i="5"/>
  <c r="G6" i="5"/>
  <c r="G7" i="5"/>
  <c r="G8" i="5"/>
  <c r="G9" i="5"/>
  <c r="G10" i="5"/>
  <c r="G11" i="5"/>
  <c r="G12" i="5"/>
  <c r="G13" i="5"/>
  <c r="G14" i="5"/>
  <c r="B18" i="7"/>
  <c r="B17" i="7"/>
  <c r="B16" i="7"/>
  <c r="E17" i="7"/>
  <c r="H4" i="7"/>
  <c r="I4" i="7"/>
  <c r="R7" i="12"/>
  <c r="H10" i="5"/>
  <c r="C20" i="2"/>
  <c r="B21" i="5"/>
  <c r="C19" i="2"/>
  <c r="B20" i="5"/>
  <c r="H5" i="7"/>
  <c r="I5" i="7"/>
  <c r="G6" i="7"/>
  <c r="J14" i="5"/>
  <c r="G15" i="5"/>
  <c r="H14" i="5"/>
  <c r="O7" i="12"/>
  <c r="P7" i="12"/>
  <c r="M8" i="12"/>
  <c r="H6" i="5"/>
  <c r="H11" i="5"/>
  <c r="J5" i="5"/>
  <c r="J13" i="5"/>
  <c r="J11" i="5"/>
  <c r="J10" i="5"/>
  <c r="J9" i="5"/>
  <c r="J4" i="5"/>
  <c r="J12" i="5"/>
  <c r="J8" i="5"/>
  <c r="J7" i="5"/>
  <c r="J6" i="5"/>
  <c r="H12" i="5"/>
  <c r="H4" i="5"/>
  <c r="H13" i="5"/>
  <c r="H5" i="5"/>
  <c r="H7" i="5"/>
  <c r="H8" i="5"/>
  <c r="H9" i="5"/>
  <c r="R8" i="12"/>
  <c r="G27" i="12"/>
  <c r="D27" i="12"/>
  <c r="C15" i="2"/>
  <c r="B19" i="7"/>
  <c r="K4" i="5"/>
  <c r="G7" i="7"/>
  <c r="H6" i="7"/>
  <c r="I6" i="7"/>
  <c r="H15" i="5"/>
  <c r="I15" i="5"/>
  <c r="J15" i="5"/>
  <c r="G16" i="5"/>
  <c r="O8" i="12"/>
  <c r="P8" i="12"/>
  <c r="K10" i="5"/>
  <c r="K12" i="5"/>
  <c r="K15" i="5"/>
  <c r="K8" i="5"/>
  <c r="K14" i="5"/>
  <c r="K7" i="5"/>
  <c r="K5" i="5"/>
  <c r="K6" i="5"/>
  <c r="K13" i="5"/>
  <c r="K11" i="5"/>
  <c r="K9" i="5"/>
  <c r="I13" i="5"/>
  <c r="M9" i="12"/>
  <c r="I7" i="5"/>
  <c r="I8" i="5"/>
  <c r="I10" i="5"/>
  <c r="I9" i="5"/>
  <c r="I14" i="5"/>
  <c r="I12" i="5"/>
  <c r="I5" i="5"/>
  <c r="I6" i="5"/>
  <c r="I11" i="5"/>
  <c r="I4" i="5"/>
  <c r="R9" i="12"/>
  <c r="D33" i="12"/>
  <c r="D34" i="12"/>
  <c r="D28" i="12"/>
  <c r="D29" i="12"/>
  <c r="D30" i="12"/>
  <c r="D31" i="12"/>
  <c r="D32" i="12"/>
  <c r="G29" i="12"/>
  <c r="G34" i="12"/>
  <c r="G31" i="12"/>
  <c r="G28" i="12"/>
  <c r="G33" i="12"/>
  <c r="G30" i="12"/>
  <c r="G32" i="12"/>
  <c r="H27" i="12"/>
  <c r="I27" i="12"/>
  <c r="F27" i="12"/>
  <c r="E27" i="12"/>
  <c r="O9" i="12"/>
  <c r="P9" i="12"/>
  <c r="H16" i="5"/>
  <c r="J16" i="5"/>
  <c r="K16" i="5"/>
  <c r="G17" i="5"/>
  <c r="G8" i="7"/>
  <c r="H7" i="7"/>
  <c r="I7" i="7"/>
  <c r="J7" i="7"/>
  <c r="M10" i="12"/>
  <c r="J6" i="7"/>
  <c r="J5" i="7"/>
  <c r="J4" i="7"/>
  <c r="H32" i="12"/>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c r="H8" i="7"/>
  <c r="I8" i="7"/>
  <c r="J8" i="7"/>
  <c r="G9" i="7"/>
  <c r="J17" i="5"/>
  <c r="K17" i="5"/>
  <c r="G18" i="5"/>
  <c r="H17" i="5"/>
  <c r="I17" i="5"/>
  <c r="I16" i="5"/>
  <c r="R10" i="12"/>
  <c r="M11" i="12"/>
  <c r="J33" i="12"/>
  <c r="J32" i="12"/>
  <c r="J34" i="12"/>
  <c r="J30" i="12"/>
  <c r="J29" i="12"/>
  <c r="J28" i="12"/>
  <c r="J31" i="12"/>
  <c r="P10" i="12"/>
  <c r="H9" i="7"/>
  <c r="I9" i="7"/>
  <c r="J9" i="7"/>
  <c r="G10" i="7"/>
  <c r="J18" i="5"/>
  <c r="K18" i="5"/>
  <c r="G19" i="5"/>
  <c r="H18" i="5"/>
  <c r="R11" i="12"/>
  <c r="P11" i="12"/>
  <c r="O12" i="12"/>
  <c r="M12" i="12"/>
  <c r="J4" i="12"/>
  <c r="G11" i="7"/>
  <c r="H10" i="7"/>
  <c r="I10" i="7"/>
  <c r="J10" i="7"/>
  <c r="I18" i="5"/>
  <c r="H19" i="5"/>
  <c r="I19" i="5"/>
  <c r="J19" i="5"/>
  <c r="K19" i="5"/>
  <c r="G20" i="5"/>
  <c r="R12" i="12"/>
  <c r="O13" i="12"/>
  <c r="P12" i="12"/>
  <c r="M13" i="12"/>
  <c r="Q7" i="12"/>
  <c r="Q8" i="12"/>
  <c r="Q9" i="12"/>
  <c r="Q10" i="12"/>
  <c r="Q11" i="12"/>
  <c r="Q12" i="12"/>
  <c r="S4" i="12"/>
  <c r="T4" i="12"/>
  <c r="S5" i="12"/>
  <c r="T5" i="12"/>
  <c r="G12" i="7"/>
  <c r="H11" i="7"/>
  <c r="I11" i="7"/>
  <c r="J11" i="7"/>
  <c r="H20" i="5"/>
  <c r="I20" i="5"/>
  <c r="J20" i="5"/>
  <c r="K20" i="5"/>
  <c r="G21" i="5"/>
  <c r="R13" i="12"/>
  <c r="O14" i="12"/>
  <c r="P13" i="12"/>
  <c r="M14" i="12"/>
  <c r="Q13" i="12"/>
  <c r="S6" i="12"/>
  <c r="T6" i="12"/>
  <c r="S7" i="12"/>
  <c r="T7" i="12"/>
  <c r="J21" i="5"/>
  <c r="K21" i="5"/>
  <c r="G22" i="5"/>
  <c r="H21" i="5"/>
  <c r="H12" i="7"/>
  <c r="I12" i="7"/>
  <c r="J12" i="7"/>
  <c r="G13" i="7"/>
  <c r="R14" i="12"/>
  <c r="O15" i="12"/>
  <c r="P14" i="12"/>
  <c r="M15" i="12"/>
  <c r="Q14" i="12"/>
  <c r="S8" i="12"/>
  <c r="T8" i="12"/>
  <c r="I21" i="5"/>
  <c r="H13" i="7"/>
  <c r="I13" i="7"/>
  <c r="J13" i="7"/>
  <c r="G14" i="7"/>
  <c r="J22" i="5"/>
  <c r="K22" i="5"/>
  <c r="G23" i="5"/>
  <c r="H22" i="5"/>
  <c r="I22" i="5"/>
  <c r="R15" i="12"/>
  <c r="O16" i="12"/>
  <c r="P15" i="12"/>
  <c r="M16" i="12"/>
  <c r="Q15" i="12"/>
  <c r="H23" i="5"/>
  <c r="I23" i="5"/>
  <c r="J23" i="5"/>
  <c r="K23" i="5"/>
  <c r="G24" i="5"/>
  <c r="G15" i="7"/>
  <c r="H14" i="7"/>
  <c r="I14" i="7"/>
  <c r="J14" i="7"/>
  <c r="R16" i="12"/>
  <c r="O17" i="12"/>
  <c r="P16" i="12"/>
  <c r="M17" i="12"/>
  <c r="Q16" i="12"/>
  <c r="S9" i="12"/>
  <c r="T9" i="12"/>
  <c r="S10" i="12"/>
  <c r="T10" i="12"/>
  <c r="H24" i="5"/>
  <c r="I24" i="5"/>
  <c r="J24" i="5"/>
  <c r="K24" i="5"/>
  <c r="G25" i="5"/>
  <c r="G16" i="7"/>
  <c r="H15" i="7"/>
  <c r="I15" i="7"/>
  <c r="J15" i="7"/>
  <c r="R17" i="12"/>
  <c r="O18" i="12"/>
  <c r="P17" i="12"/>
  <c r="M18" i="12"/>
  <c r="Q17" i="12"/>
  <c r="B11" i="5"/>
  <c r="B12" i="5"/>
  <c r="H16" i="7"/>
  <c r="I16" i="7"/>
  <c r="J16" i="7"/>
  <c r="G17" i="7"/>
  <c r="J25" i="5"/>
  <c r="K25" i="5"/>
  <c r="G26" i="5"/>
  <c r="H25" i="5"/>
  <c r="I25" i="5"/>
  <c r="R18" i="12"/>
  <c r="O19" i="12"/>
  <c r="P18" i="12"/>
  <c r="M19" i="12"/>
  <c r="Q18" i="12"/>
  <c r="S11" i="12"/>
  <c r="T11" i="12"/>
  <c r="H17" i="7"/>
  <c r="I17" i="7"/>
  <c r="J17" i="7"/>
  <c r="G18" i="7"/>
  <c r="J26" i="5"/>
  <c r="K26" i="5"/>
  <c r="G27" i="5"/>
  <c r="H26" i="5"/>
  <c r="I26" i="5"/>
  <c r="R19" i="12"/>
  <c r="O20" i="12"/>
  <c r="P19" i="12"/>
  <c r="M20" i="12"/>
  <c r="Q19" i="12"/>
  <c r="S12" i="12"/>
  <c r="T12" i="12"/>
  <c r="S13" i="12"/>
  <c r="T13" i="12"/>
  <c r="G19" i="7"/>
  <c r="H18" i="7"/>
  <c r="I18" i="7"/>
  <c r="J18" i="7"/>
  <c r="H27" i="5"/>
  <c r="I27" i="5"/>
  <c r="J27" i="5"/>
  <c r="K27" i="5"/>
  <c r="G28" i="5"/>
  <c r="R20" i="12"/>
  <c r="O21" i="12"/>
  <c r="P20" i="12"/>
  <c r="Q20" i="12"/>
  <c r="M21" i="12"/>
  <c r="S14" i="12"/>
  <c r="T14" i="12"/>
  <c r="H28" i="5"/>
  <c r="I28" i="5"/>
  <c r="J28" i="5"/>
  <c r="K28" i="5"/>
  <c r="G29" i="5"/>
  <c r="G20" i="7"/>
  <c r="H19" i="7"/>
  <c r="I19" i="7"/>
  <c r="J19" i="7"/>
  <c r="R21" i="12"/>
  <c r="O22" i="12"/>
  <c r="P21" i="12"/>
  <c r="Q21" i="12"/>
  <c r="M22" i="12"/>
  <c r="S15" i="12"/>
  <c r="T15" i="12"/>
  <c r="H20" i="7"/>
  <c r="I20" i="7"/>
  <c r="J20" i="7"/>
  <c r="G21" i="7"/>
  <c r="J29" i="5"/>
  <c r="K29" i="5"/>
  <c r="H29" i="5"/>
  <c r="R22" i="12"/>
  <c r="O23" i="12"/>
  <c r="P22" i="12"/>
  <c r="Q22" i="12"/>
  <c r="M23" i="12"/>
  <c r="S16" i="12"/>
  <c r="T16" i="12"/>
  <c r="H21" i="7"/>
  <c r="I21" i="7"/>
  <c r="J21" i="7"/>
  <c r="G22" i="7"/>
  <c r="I29" i="5"/>
  <c r="B13" i="5"/>
  <c r="R23" i="12"/>
  <c r="O24" i="12"/>
  <c r="P23" i="12"/>
  <c r="Q23" i="12"/>
  <c r="M24" i="12"/>
  <c r="S17" i="12"/>
  <c r="T17" i="12"/>
  <c r="G23" i="7"/>
  <c r="H22" i="7"/>
  <c r="I22" i="7"/>
  <c r="J22" i="7"/>
  <c r="R24" i="12"/>
  <c r="O25" i="12"/>
  <c r="P24" i="12"/>
  <c r="Q24" i="12"/>
  <c r="M25" i="12"/>
  <c r="S18" i="12"/>
  <c r="T18" i="12"/>
  <c r="G24" i="7"/>
  <c r="H23" i="7"/>
  <c r="I23" i="7"/>
  <c r="J23" i="7"/>
  <c r="R25" i="12"/>
  <c r="O26" i="12"/>
  <c r="P25" i="12"/>
  <c r="Q25" i="12"/>
  <c r="M26" i="12"/>
  <c r="S19" i="12"/>
  <c r="T19" i="12"/>
  <c r="H24" i="7"/>
  <c r="I24" i="7"/>
  <c r="J24" i="7"/>
  <c r="G25" i="7"/>
  <c r="R26" i="12"/>
  <c r="O27" i="12"/>
  <c r="P26" i="12"/>
  <c r="Q26" i="12"/>
  <c r="M27" i="12"/>
  <c r="S20" i="12"/>
  <c r="T20" i="12"/>
  <c r="H25" i="7"/>
  <c r="I25" i="7"/>
  <c r="J25" i="7"/>
  <c r="G26" i="7"/>
  <c r="R27" i="12"/>
  <c r="O28" i="12"/>
  <c r="P27" i="12"/>
  <c r="Q27" i="12"/>
  <c r="M28" i="12"/>
  <c r="S21" i="12"/>
  <c r="T21" i="12"/>
  <c r="G27" i="7"/>
  <c r="H26" i="7"/>
  <c r="I26" i="7"/>
  <c r="J26" i="7"/>
  <c r="R28" i="12"/>
  <c r="O29" i="12"/>
  <c r="P28" i="12"/>
  <c r="Q28" i="12"/>
  <c r="M29" i="12"/>
  <c r="S22" i="12"/>
  <c r="T22" i="12"/>
  <c r="G28" i="7"/>
  <c r="H27" i="7"/>
  <c r="I27" i="7"/>
  <c r="J27" i="7"/>
  <c r="P29" i="12"/>
  <c r="Q29" i="12"/>
  <c r="O30" i="12"/>
  <c r="M30" i="12"/>
  <c r="R29" i="12"/>
  <c r="S23" i="12"/>
  <c r="T23" i="12"/>
  <c r="H28" i="7"/>
  <c r="I28" i="7"/>
  <c r="J28" i="7"/>
  <c r="G29" i="7"/>
  <c r="P30" i="12"/>
  <c r="Q30" i="12"/>
  <c r="O31" i="12"/>
  <c r="R30" i="12"/>
  <c r="M31" i="12"/>
  <c r="M32" i="12"/>
  <c r="S24" i="12"/>
  <c r="T24" i="12"/>
  <c r="H29" i="7"/>
  <c r="I29" i="7"/>
  <c r="J29" i="7"/>
  <c r="B11" i="7"/>
  <c r="B12" i="7"/>
  <c r="M33" i="12"/>
  <c r="R32" i="12"/>
  <c r="P31" i="12"/>
  <c r="Q31" i="12"/>
  <c r="O32" i="12"/>
  <c r="R31" i="12"/>
  <c r="S25" i="12"/>
  <c r="T25" i="12"/>
  <c r="M34" i="12"/>
  <c r="R33" i="12"/>
  <c r="P32" i="12"/>
  <c r="Q32" i="12"/>
  <c r="O33" i="12"/>
  <c r="S26" i="12"/>
  <c r="T26" i="12"/>
  <c r="R34" i="12"/>
  <c r="M35" i="12"/>
  <c r="P33" i="12"/>
  <c r="Q33" i="12"/>
  <c r="O34" i="12"/>
  <c r="S27" i="12"/>
  <c r="T27" i="12"/>
  <c r="M36" i="12"/>
  <c r="R35" i="12"/>
  <c r="P34" i="12"/>
  <c r="Q34" i="12"/>
  <c r="O35" i="12"/>
  <c r="S28" i="12"/>
  <c r="T28" i="12"/>
  <c r="R36" i="12"/>
  <c r="P35" i="12"/>
  <c r="Q35" i="12"/>
  <c r="O36" i="12"/>
  <c r="P36" i="12"/>
  <c r="Q36" i="12"/>
  <c r="S29" i="12"/>
  <c r="T29" i="12"/>
  <c r="S30" i="12"/>
  <c r="T30" i="12"/>
  <c r="S31" i="12"/>
  <c r="T31" i="12"/>
  <c r="S32" i="12"/>
  <c r="T32" i="12"/>
  <c r="S33" i="12"/>
  <c r="T33" i="12"/>
  <c r="S34" i="12"/>
  <c r="T34" i="12"/>
  <c r="S36" i="12"/>
  <c r="T36" i="12"/>
  <c r="S35" i="12"/>
  <c r="T35" i="12"/>
  <c r="T37" i="12"/>
  <c r="C36" i="11"/>
</calcChain>
</file>

<file path=xl/sharedStrings.xml><?xml version="1.0" encoding="utf-8"?>
<sst xmlns="http://schemas.openxmlformats.org/spreadsheetml/2006/main" count="364" uniqueCount="205">
  <si>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</si>
  <si>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</si>
  <si>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</si>
  <si>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</si>
  <si>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</si>
  <si>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</si>
  <si>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</si>
  <si>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</si>
  <si>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</si>
  <si>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</si>
  <si>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</si>
  <si>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</si>
  <si>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</si>
  <si>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</si>
  <si>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</si>
  <si>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</si>
  <si>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</si>
  <si>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</si>
  <si>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</si>
  <si>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</si>
  <si>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</si>
  <si>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</si>
  <si>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</si>
  <si>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</si>
  <si>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</si>
  <si>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</si>
  <si>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</si>
  <si>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</si>
  <si>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</si>
  <si>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</si>
  <si>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</si>
  <si>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</si>
  <si>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</si>
  <si>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</si>
  <si>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</si>
  <si>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</si>
  <si>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</si>
  <si>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</si>
  <si>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</si>
  <si>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</si>
  <si>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</si>
  <si>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</si>
  <si>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</si>
  <si>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</si>
  <si>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</si>
  <si>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</si>
  <si>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</si>
  <si>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</si>
  <si>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</si>
  <si>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</si>
  <si>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</si>
  <si>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</si>
  <si>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</si>
  <si>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</si>
  <si>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</si>
  <si>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</si>
  <si>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</si>
  <si>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</si>
  <si>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</si>
  <si>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</si>
  <si>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</si>
  <si>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</si>
  <si>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</si>
  <si>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</si>
  <si>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</si>
  <si>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</si>
  <si>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</si>
  <si>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</si>
  <si>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</si>
  <si>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</si>
  <si>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</si>
  <si>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</si>
  <si>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</si>
  <si>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</si>
  <si>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</si>
  <si>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</si>
  <si>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</si>
  <si>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</si>
  <si>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</si>
  <si>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</si>
  <si>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</si>
  <si>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</si>
  <si>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</si>
  <si>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</si>
  <si>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</si>
  <si>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</si>
  <si>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</si>
  <si>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</si>
  <si>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</si>
  <si>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</si>
  <si>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</si>
  <si>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</si>
  <si>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</si>
  <si>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</si>
  <si>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</si>
  <si>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</si>
  <si>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</si>
  <si>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</si>
  <si>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</si>
  <si>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</si>
  <si>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</si>
  <si>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</si>
  <si>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</si>
  <si>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</si>
  <si>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</si>
  <si>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</si>
  <si>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</si>
  <si>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</si>
  <si>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</si>
  <si>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</si>
  <si>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</si>
  <si>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</si>
  <si>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</si>
  <si>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</si>
  <si>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</si>
  <si>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</si>
  <si>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</si>
  <si>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</si>
  <si>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</si>
  <si>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</si>
  <si>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</si>
  <si>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</si>
  <si>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</si>
  <si>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</si>
  <si>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</si>
  <si>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</si>
  <si>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</si>
  <si>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</si>
  <si>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</si>
  <si>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</si>
  <si>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</si>
  <si>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</si>
  <si>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</si>
  <si>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</si>
  <si>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</si>
  <si>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</si>
  <si>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</si>
  <si>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</si>
  <si>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</si>
  <si>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</si>
  <si>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</si>
  <si>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</si>
  <si>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</si>
  <si>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</si>
  <si>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</si>
  <si>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</si>
  <si>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</si>
  <si>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</si>
  <si>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</si>
  <si>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</si>
  <si>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</si>
  <si>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</si>
  <si>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</si>
  <si>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</si>
  <si>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</si>
  <si>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</si>
  <si>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</si>
  <si>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</si>
  <si>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</si>
  <si>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</si>
  <si>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</si>
  <si>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</si>
  <si>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</si>
  <si>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</si>
  <si>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</si>
  <si>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</si>
  <si>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</si>
  <si>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</si>
  <si>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</si>
  <si>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</si>
  <si>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</si>
  <si>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</si>
  <si>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</si>
  <si>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</si>
  <si>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</si>
  <si>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</si>
  <si>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</si>
  <si>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</si>
  <si>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</si>
  <si>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</si>
  <si>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</si>
  <si>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</si>
  <si>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</si>
  <si>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</si>
  <si>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</si>
  <si>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</si>
  <si>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</si>
  <si>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</si>
  <si>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</si>
  <si>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</si>
  <si>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</si>
  <si>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</si>
  <si>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</si>
  <si>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</si>
  <si>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</si>
  <si>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</si>
  <si>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</si>
  <si>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</si>
  <si>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</si>
  <si>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</si>
  <si>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</si>
  <si>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</si>
  <si>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</si>
  <si>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Southern Brazoria County Maintenance Facility</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</si>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</sst>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zoomScale="115" zoomScaleNormal="115" workbookViewId="0">
      <selection activeCell="F17" sqref="F17"/>
    </sheetView>
  </sheetViews>
  <sheetFormatPr defaultColWidth="9.140625"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75" x14ac:dyDescent="0.25">
      <c r="B6" s="139" t="s">
        <v>155</v>
      </c>
      <c r="C6" s="104" t="s">
        <v>203</v>
      </c>
    </row>
    <row r="7" spans="2:6" x14ac:dyDescent="0.25">
      <c r="B7" s="6" t="s">
        <v>115</v>
      </c>
      <c r="C7" s="6" t="s">
        <v>118</v>
      </c>
      <c r="E7" s="6"/>
      <c r="F7" s="136" t="s">
        <v>168</v>
      </c>
    </row>
    <row r="8" spans="2:6" x14ac:dyDescent="0.25">
      <c r="B8" s="6" t="s">
        <v>124</v>
      </c>
      <c r="C8" s="6" t="s">
        <v>126</v>
      </c>
      <c r="E8" s="140"/>
      <c r="F8" s="136" t="s">
        <v>164</v>
      </c>
    </row>
    <row r="9" spans="2:6" x14ac:dyDescent="0.25">
      <c r="B9" s="6" t="s">
        <v>156</v>
      </c>
      <c r="C9" s="6" t="s">
        <v>204</v>
      </c>
      <c r="E9" s="141"/>
      <c r="F9" s="136" t="s">
        <v>187</v>
      </c>
    </row>
    <row r="10" spans="2:6" x14ac:dyDescent="0.25">
      <c r="B10" s="6" t="s">
        <v>113</v>
      </c>
      <c r="C10" s="6" t="s">
        <v>204</v>
      </c>
      <c r="E10" s="142"/>
      <c r="F10" s="136" t="s">
        <v>169</v>
      </c>
    </row>
    <row r="11" spans="2:6" x14ac:dyDescent="0.25">
      <c r="B11" s="6" t="s">
        <v>114</v>
      </c>
      <c r="C11" s="6" t="s">
        <v>204</v>
      </c>
    </row>
    <row r="12" spans="2:6" x14ac:dyDescent="0.25">
      <c r="B12" s="6" t="s">
        <v>77</v>
      </c>
      <c r="C12" s="6">
        <v>175</v>
      </c>
    </row>
    <row r="13" spans="2:6" x14ac:dyDescent="0.25">
      <c r="B13" s="6" t="s">
        <v>78</v>
      </c>
      <c r="C13" s="6"/>
    </row>
    <row r="14" spans="2:6" x14ac:dyDescent="0.25">
      <c r="B14" s="78"/>
      <c r="C14" s="78"/>
    </row>
    <row r="15" spans="2:6" x14ac:dyDescent="0.25">
      <c r="B15" s="138" t="s">
        <v>159</v>
      </c>
    </row>
    <row r="16" spans="2:6" x14ac:dyDescent="0.25">
      <c r="B16" s="6" t="s">
        <v>102</v>
      </c>
      <c r="C16" s="47">
        <v>2021</v>
      </c>
    </row>
    <row r="17" spans="2:11" ht="60" x14ac:dyDescent="0.25">
      <c r="B17" s="6" t="s">
        <v>173</v>
      </c>
      <c r="C17" s="130" t="s">
        <v>183</v>
      </c>
    </row>
    <row r="18" spans="2:11" x14ac:dyDescent="0.25">
      <c r="B18" s="141" t="s">
        <v>101</v>
      </c>
      <c r="C18" s="131">
        <f>VLOOKUP(C17,'Service Life'!C5:D15,2,FALSE)</f>
        <v>20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v>238</v>
      </c>
      <c r="E22" s="143"/>
      <c r="F22" s="83"/>
    </row>
    <row r="23" spans="2:11" x14ac:dyDescent="0.25">
      <c r="B23" s="6" t="s">
        <v>172</v>
      </c>
      <c r="C23" s="6">
        <v>5.32</v>
      </c>
      <c r="E23" s="143"/>
      <c r="F23" s="83"/>
    </row>
    <row r="24" spans="2:11" x14ac:dyDescent="0.25">
      <c r="E24" s="143"/>
      <c r="F24" s="83"/>
    </row>
    <row r="25" spans="2:11" x14ac:dyDescent="0.25">
      <c r="I25" s="145"/>
      <c r="J25" s="146"/>
      <c r="K25" s="147"/>
    </row>
    <row r="26" spans="2:11" x14ac:dyDescent="0.25">
      <c r="B26" s="148" t="s">
        <v>195</v>
      </c>
      <c r="C26" s="133">
        <v>2205</v>
      </c>
      <c r="I26" s="145"/>
      <c r="J26" s="146"/>
      <c r="K26" s="147"/>
    </row>
    <row r="27" spans="2:11" x14ac:dyDescent="0.25">
      <c r="B27" s="148" t="s">
        <v>196</v>
      </c>
      <c r="C27" s="133">
        <v>9752</v>
      </c>
      <c r="I27" s="145"/>
      <c r="J27" s="146"/>
      <c r="K27" s="147"/>
    </row>
    <row r="28" spans="2:11" x14ac:dyDescent="0.25">
      <c r="B28" s="148" t="s">
        <v>200</v>
      </c>
      <c r="C28" s="133">
        <v>2406</v>
      </c>
      <c r="I28" s="145"/>
      <c r="J28" s="146"/>
      <c r="K28" s="147"/>
    </row>
    <row r="29" spans="2:11" x14ac:dyDescent="0.25">
      <c r="B29" s="148" t="s">
        <v>197</v>
      </c>
      <c r="C29" s="133">
        <v>9752</v>
      </c>
      <c r="I29" s="145"/>
      <c r="J29" s="146"/>
      <c r="K29" s="147"/>
    </row>
    <row r="30" spans="2:11" x14ac:dyDescent="0.25">
      <c r="B30" s="148" t="s">
        <v>201</v>
      </c>
      <c r="C30" s="133">
        <v>2542</v>
      </c>
      <c r="F30" s="149"/>
      <c r="H30" s="149"/>
      <c r="J30" s="146"/>
      <c r="K30" s="147"/>
    </row>
    <row r="31" spans="2:11" x14ac:dyDescent="0.25">
      <c r="B31" s="148" t="s">
        <v>198</v>
      </c>
      <c r="C31" s="133">
        <v>9752</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1990.1930022169611</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171.22302158273382</v>
      </c>
      <c r="G4" s="157" t="s">
        <v>170</v>
      </c>
      <c r="H4" s="157"/>
      <c r="I4" s="157"/>
      <c r="J4" s="116">
        <f>SUMPRODUCT(Possible_Crash_Reductions,'Value of Statistical Life'!E5:E11)</f>
        <v>204329.16137148981</v>
      </c>
      <c r="M4" s="60">
        <v>2018</v>
      </c>
      <c r="N4" s="61" t="s">
        <v>85</v>
      </c>
      <c r="O4" s="62">
        <f>MIN(B13,1)</f>
        <v>0.22610746513535684</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20</v>
      </c>
      <c r="D5" s="101" t="s">
        <v>161</v>
      </c>
      <c r="E5" s="100">
        <f>($E$4*'Inputs &amp; Outputs'!$C$23)*2</f>
        <v>1821.812949640288</v>
      </c>
      <c r="M5" s="13">
        <f t="shared" ref="M5:M36" si="1">M4+1</f>
        <v>2019</v>
      </c>
      <c r="N5" s="53">
        <f t="shared" ref="N5:N11" si="2">IF(ISERROR(_2025_2045_Demand_Growth),_2018_2045_Demand_Growth,_2018_2025_Demand_Growth)</f>
        <v>1.2540568601592472E-2</v>
      </c>
      <c r="O5" s="55">
        <f t="shared" ref="O5:O11" si="3">O4*(1+IFERROR(_2018_2025_V_C_Growth,_2018_2045_V_C_Growth))</f>
        <v>0.22894298131321897</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473671.36690647487</v>
      </c>
      <c r="M6" s="60">
        <f t="shared" si="1"/>
        <v>2020</v>
      </c>
      <c r="N6" s="53">
        <f t="shared" si="2"/>
        <v>1.2540568601592472E-2</v>
      </c>
      <c r="O6" s="55">
        <f t="shared" si="3"/>
        <v>0.23181405647623049</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1.2540568601592472E-2</v>
      </c>
      <c r="O7" s="55">
        <f t="shared" si="3"/>
        <v>0.23472113655428409</v>
      </c>
      <c r="P7" s="58">
        <f t="shared" si="4"/>
        <v>1</v>
      </c>
      <c r="Q7" s="119">
        <f>IF(M7=Year_Open_to_Traffic?,Calculations!$J$4,Calculations!Q6+Calculations!Q6*Calculations!N7*P7)</f>
        <v>204329.16137148981</v>
      </c>
      <c r="R7" s="66">
        <f t="shared" si="0"/>
        <v>1</v>
      </c>
      <c r="S7" s="119">
        <f t="shared" si="5"/>
        <v>204.32916137148982</v>
      </c>
      <c r="T7" s="40">
        <f>S7/(1+'Assumed Values'!$C$6)^(Calculations!M7-'Assumed Values'!$C$5)</f>
        <v>166.79346061443542</v>
      </c>
    </row>
    <row r="8" spans="1:20" x14ac:dyDescent="0.25">
      <c r="M8" s="60">
        <f t="shared" si="1"/>
        <v>2022</v>
      </c>
      <c r="N8" s="53">
        <f t="shared" si="2"/>
        <v>1.2540568601592472E-2</v>
      </c>
      <c r="O8" s="55">
        <f t="shared" si="3"/>
        <v>0.23766467306948685</v>
      </c>
      <c r="P8" s="58">
        <f t="shared" si="4"/>
        <v>1</v>
      </c>
      <c r="Q8" s="119">
        <f>IF(M8=Year_Open_to_Traffic?,Calculations!$J$4,Calculations!Q7+Calculations!Q7*Calculations!N8*P8)</f>
        <v>206891.56523697483</v>
      </c>
      <c r="R8" s="66">
        <f t="shared" si="0"/>
        <v>1</v>
      </c>
      <c r="S8" s="119">
        <f t="shared" si="5"/>
        <v>206.89156523697483</v>
      </c>
      <c r="T8" s="40">
        <f>S8/(1+'Assumed Values'!$C$6)^(Calculations!M8-'Assumed Values'!$C$5)</f>
        <v>157.83658453230632</v>
      </c>
    </row>
    <row r="9" spans="1:20" x14ac:dyDescent="0.25">
      <c r="A9" s="105" t="s">
        <v>15</v>
      </c>
      <c r="B9" s="90"/>
      <c r="D9" s="108" t="s">
        <v>139</v>
      </c>
      <c r="E9" s="82"/>
      <c r="F9" s="87"/>
      <c r="M9" s="13">
        <f t="shared" si="1"/>
        <v>2023</v>
      </c>
      <c r="N9" s="53">
        <f t="shared" si="2"/>
        <v>1.2540568601592472E-2</v>
      </c>
      <c r="O9" s="55">
        <f t="shared" si="3"/>
        <v>0.24064512320628981</v>
      </c>
      <c r="P9" s="58">
        <f t="shared" si="4"/>
        <v>1</v>
      </c>
      <c r="Q9" s="119">
        <f>IF(M9=Year_Open_to_Traffic?,Calculations!$J$4,Calculations!Q8+Calculations!Q8*Calculations!N9*P9)</f>
        <v>209486.10310391994</v>
      </c>
      <c r="R9" s="66">
        <f t="shared" si="0"/>
        <v>1</v>
      </c>
      <c r="S9" s="119">
        <f t="shared" si="5"/>
        <v>209.48610310391993</v>
      </c>
      <c r="T9" s="40">
        <f>S9/(1+'Assumed Values'!$C$6)^(Calculations!M9-'Assumed Values'!$C$5)</f>
        <v>149.36069630698572</v>
      </c>
    </row>
    <row r="10" spans="1:20" x14ac:dyDescent="0.25">
      <c r="A10" s="16" t="s">
        <v>76</v>
      </c>
      <c r="B10" s="43">
        <f>(_2025_Volume/'Inputs &amp; Outputs'!C26)^(1/(2025-2018))-1</f>
        <v>1.2540568601592472E-2</v>
      </c>
      <c r="D10" s="64" t="s">
        <v>133</v>
      </c>
      <c r="E10" s="100">
        <f>IF('Inputs &amp; Outputs'!$C$8='CRASH RATES'!$D$3, VLOOKUP('Inputs &amp; Outputs'!$C$7,'CRASH RATES'!$C$14:$J$21,3,FALSE), VLOOKUP('Inputs &amp; Outputs'!$C$7,'CRASH RATES'!$C$28:$J$35,3,FALSE))</f>
        <v>2.3625405586197226</v>
      </c>
      <c r="F10" s="83"/>
      <c r="M10" s="60">
        <f t="shared" si="1"/>
        <v>2024</v>
      </c>
      <c r="N10" s="53">
        <f t="shared" si="2"/>
        <v>1.2540568601592472E-2</v>
      </c>
      <c r="O10" s="55">
        <f t="shared" si="3"/>
        <v>0.24366294988249695</v>
      </c>
      <c r="P10" s="58">
        <f t="shared" si="4"/>
        <v>1</v>
      </c>
      <c r="Q10" s="119">
        <f>IF(M10=Year_Open_to_Traffic?,Calculations!$J$4,Calculations!Q9+Calculations!Q9*Calculations!N10*P10)</f>
        <v>212113.17795097493</v>
      </c>
      <c r="R10" s="66">
        <f t="shared" si="0"/>
        <v>1</v>
      </c>
      <c r="S10" s="119">
        <f t="shared" si="5"/>
        <v>212.11317795097494</v>
      </c>
      <c r="T10" s="40">
        <f>S10/(1+'Assumed Values'!$C$6)^(Calculations!M10-'Assumed Values'!$C$5)</f>
        <v>141.33996669664029</v>
      </c>
    </row>
    <row r="11" spans="1:20" x14ac:dyDescent="0.25">
      <c r="A11" s="16" t="s">
        <v>105</v>
      </c>
      <c r="B11" s="43">
        <f>(_2045_Volume/_2025_Volume)^(1/(2045-2025))-1</f>
        <v>2.7530604906389478E-3</v>
      </c>
      <c r="D11" s="64" t="s">
        <v>134</v>
      </c>
      <c r="E11" s="100">
        <f>IF('Inputs &amp; Outputs'!$C$8='CRASH RATES'!$D$3, VLOOKUP('Inputs &amp; Outputs'!$C$7,'CRASH RATES'!$C$14:$J$21,4,FALSE), VLOOKUP('Inputs &amp; Outputs'!$C$7,'CRASH RATES'!$C$28:$J$35,4,FALSE))</f>
        <v>8.4203368627728583</v>
      </c>
      <c r="F11" s="83"/>
      <c r="M11" s="13">
        <f t="shared" si="1"/>
        <v>2025</v>
      </c>
      <c r="N11" s="53">
        <f t="shared" si="2"/>
        <v>1.2540568601592472E-2</v>
      </c>
      <c r="O11" s="55">
        <f t="shared" si="3"/>
        <v>0.2467186218211648</v>
      </c>
      <c r="P11" s="58">
        <f t="shared" si="4"/>
        <v>1</v>
      </c>
      <c r="Q11" s="119">
        <f>IF(M11=Year_Open_to_Traffic?,Calculations!$J$4,Calculations!Q10+Calculations!Q10*Calculations!N11*P11)</f>
        <v>214773.19781037091</v>
      </c>
      <c r="R11" s="66">
        <f t="shared" si="0"/>
        <v>1</v>
      </c>
      <c r="S11" s="119">
        <f t="shared" si="5"/>
        <v>214.7731978103709</v>
      </c>
      <c r="T11" s="40">
        <f>S11/(1+'Assumed Values'!$C$6)^(Calculations!M11-'Assumed Values'!$C$5)</f>
        <v>133.74995350013671</v>
      </c>
    </row>
    <row r="12" spans="1:20" x14ac:dyDescent="0.25">
      <c r="A12" s="16" t="s">
        <v>106</v>
      </c>
      <c r="B12" s="43">
        <f>(_2045_Volume/'Inputs &amp; Outputs'!C26)^(1/(2045-2018))-1</f>
        <v>5.2814410033021897E-3</v>
      </c>
      <c r="D12" s="64" t="s">
        <v>135</v>
      </c>
      <c r="E12" s="100">
        <f>IF('Inputs &amp; Outputs'!$C$8='CRASH RATES'!$D$3, VLOOKUP('Inputs &amp; Outputs'!$C$7,'CRASH RATES'!$C$14:$J$21,5,FALSE), VLOOKUP('Inputs &amp; Outputs'!$C$7,'CRASH RATES'!$C$28:$J$35,5,FALSE))</f>
        <v>41.314170794324376</v>
      </c>
      <c r="F12" s="83"/>
      <c r="M12" s="60">
        <f t="shared" si="1"/>
        <v>2026</v>
      </c>
      <c r="N12" s="53">
        <f t="shared" ref="N12:N36" si="6">IFERROR(_2025_2045_Demand_Growth,_2018_2045_Demand_Growth)</f>
        <v>2.7530604906389478E-3</v>
      </c>
      <c r="O12" s="55">
        <f t="shared" ref="O12:O36" si="7">O11*(1+IFERROR(_2025_2040_V_C_Growth,_2018_2045_V_C_Growth))</f>
        <v>0.24739785311120555</v>
      </c>
      <c r="P12" s="58">
        <f t="shared" si="4"/>
        <v>1</v>
      </c>
      <c r="Q12" s="119">
        <f>IF(M12=Year_Open_to_Traffic?,Calculations!$J$4,Calculations!Q11+Calculations!Q11*Calculations!N12*P12)</f>
        <v>215364.48141571082</v>
      </c>
      <c r="R12" s="66">
        <f t="shared" si="0"/>
        <v>1</v>
      </c>
      <c r="S12" s="119">
        <f t="shared" si="5"/>
        <v>215.36448141571083</v>
      </c>
      <c r="T12" s="40">
        <f>S12/(1+'Assumed Values'!$C$6)^(Calculations!M12-'Assumed Values'!$C$5)</f>
        <v>125.34408898387171</v>
      </c>
    </row>
    <row r="13" spans="1:20" x14ac:dyDescent="0.25">
      <c r="A13" s="16" t="s">
        <v>75</v>
      </c>
      <c r="B13" s="21">
        <f>'Inputs &amp; Outputs'!C26/_2018_Capacity</f>
        <v>0.22610746513535684</v>
      </c>
      <c r="D13" s="64" t="s">
        <v>136</v>
      </c>
      <c r="E13" s="100">
        <f>IF('Inputs &amp; Outputs'!$C$8='CRASH RATES'!$D$3, VLOOKUP('Inputs &amp; Outputs'!$C$7,'CRASH RATES'!$C$14:$J$21,6,FALSE), VLOOKUP('Inputs &amp; Outputs'!$C$7,'CRASH RATES'!$C$28:$J$35,6,FALSE))</f>
        <v>65.121310269646187</v>
      </c>
      <c r="F13" s="83"/>
      <c r="M13" s="13">
        <f t="shared" si="1"/>
        <v>2027</v>
      </c>
      <c r="N13" s="53">
        <f t="shared" si="6"/>
        <v>2.7530604906389478E-3</v>
      </c>
      <c r="O13" s="55">
        <f t="shared" si="7"/>
        <v>0.24807895436607491</v>
      </c>
      <c r="P13" s="58">
        <f t="shared" si="4"/>
        <v>1</v>
      </c>
      <c r="Q13" s="119">
        <f>IF(M13=Year_Open_to_Traffic?,Calculations!$J$4,Calculations!Q12+Calculations!Q12*Calculations!N13*P13)</f>
        <v>215957.39286058335</v>
      </c>
      <c r="R13" s="66">
        <f t="shared" si="0"/>
        <v>1</v>
      </c>
      <c r="S13" s="119">
        <f t="shared" si="5"/>
        <v>215.95739286058335</v>
      </c>
      <c r="T13" s="40">
        <f>S13/(1+'Assumed Values'!$C$6)^(Calculations!M13-'Assumed Values'!$C$5)</f>
        <v>117.46651293737227</v>
      </c>
    </row>
    <row r="14" spans="1:20" x14ac:dyDescent="0.25">
      <c r="A14" s="16" t="s">
        <v>74</v>
      </c>
      <c r="B14" s="21">
        <f>_2025_Volume/_2025_Capacity</f>
        <v>0.24671862182116489</v>
      </c>
      <c r="D14" s="64" t="s">
        <v>137</v>
      </c>
      <c r="E14" s="100">
        <f>IF('Inputs &amp; Outputs'!$C$8='CRASH RATES'!$D$3, VLOOKUP('Inputs &amp; Outputs'!$C$7,'CRASH RATES'!$C$14:$J$21,7,FALSE), VLOOKUP('Inputs &amp; Outputs'!$C$7,'CRASH RATES'!$C$28:$J$35,7,FALSE))</f>
        <v>615.29037061283384</v>
      </c>
      <c r="F14" s="83"/>
      <c r="M14" s="60">
        <f>M13+1</f>
        <v>2028</v>
      </c>
      <c r="N14" s="53">
        <f t="shared" si="6"/>
        <v>2.7530604906389478E-3</v>
      </c>
      <c r="O14" s="55">
        <f>O13*(1+IFERROR(_2025_2040_V_C_Growth,_2018_2045_V_C_Growth))</f>
        <v>0.24876193073389918</v>
      </c>
      <c r="P14" s="58">
        <f t="shared" si="4"/>
        <v>1</v>
      </c>
      <c r="Q14" s="119">
        <f>IF(M14=Year_Open_to_Traffic?,Calculations!$J$4,Calculations!Q13+Calculations!Q13*Calculations!N14*P14)</f>
        <v>216551.9366265292</v>
      </c>
      <c r="R14" s="66">
        <f t="shared" si="0"/>
        <v>1</v>
      </c>
      <c r="S14" s="119">
        <f t="shared" si="5"/>
        <v>216.5519366265292</v>
      </c>
      <c r="T14" s="40">
        <f>S14/(1+'Assumed Values'!$C$6)^(Calculations!M14-'Assumed Values'!$C$5)</f>
        <v>110.08402369449838</v>
      </c>
    </row>
    <row r="15" spans="1:20" x14ac:dyDescent="0.25">
      <c r="A15" s="16" t="s">
        <v>140</v>
      </c>
      <c r="B15" s="21">
        <f>_2045_Volume/_2045_Capacity</f>
        <v>0.2606644790812141</v>
      </c>
      <c r="D15" s="64" t="s">
        <v>138</v>
      </c>
      <c r="E15" s="100">
        <f>IF('Inputs &amp; Outputs'!$C$8='CRASH RATES'!$D$3, VLOOKUP('Inputs &amp; Outputs'!$C$7,'CRASH RATES'!$C$14:$J$21,8,FALSE), VLOOKUP('Inputs &amp; Outputs'!$C$7,'CRASH RATES'!$C$28:$J$35,8,FALSE))</f>
        <v>20.354195581954531</v>
      </c>
      <c r="F15" s="83"/>
      <c r="M15" s="13">
        <f>M14+1</f>
        <v>2029</v>
      </c>
      <c r="N15" s="53">
        <f t="shared" si="6"/>
        <v>2.7530604906389478E-3</v>
      </c>
      <c r="O15" s="55">
        <f>O14*(1+IFERROR(_2025_2040_V_C_Growth,_2018_2045_V_C_Growth))</f>
        <v>0.24944678737697776</v>
      </c>
      <c r="P15" s="58">
        <f t="shared" si="4"/>
        <v>1</v>
      </c>
      <c r="Q15" s="119">
        <f>IF(M15=Year_Open_to_Traffic?,Calculations!$J$4,Calculations!Q14+Calculations!Q14*Calculations!N15*P15)</f>
        <v>217148.11720742704</v>
      </c>
      <c r="R15" s="66">
        <f t="shared" si="0"/>
        <v>1</v>
      </c>
      <c r="S15" s="119">
        <f t="shared" si="5"/>
        <v>217.14811720742705</v>
      </c>
      <c r="T15" s="40">
        <f>S15/(1+'Assumed Values'!$C$6)^(Calculations!M15-'Assumed Values'!$C$5)</f>
        <v>103.16550623437594</v>
      </c>
    </row>
    <row r="16" spans="1:20" x14ac:dyDescent="0.25">
      <c r="A16" s="16" t="s">
        <v>80</v>
      </c>
      <c r="B16" s="43">
        <f>(B14/B13)^(1/(2025-2018))-1</f>
        <v>1.2540568601592472E-2</v>
      </c>
      <c r="M16" s="60">
        <f t="shared" si="1"/>
        <v>2030</v>
      </c>
      <c r="N16" s="53">
        <f t="shared" si="6"/>
        <v>2.7530604906389478E-3</v>
      </c>
      <c r="O16" s="55">
        <f t="shared" si="7"/>
        <v>0.2501335294718221</v>
      </c>
      <c r="P16" s="58">
        <f t="shared" si="4"/>
        <v>1</v>
      </c>
      <c r="Q16" s="119">
        <f>IF(M16=Year_Open_to_Traffic?,Calculations!$J$4,Calculations!Q15+Calculations!Q15*Calculations!N16*P16)</f>
        <v>217745.93910952745</v>
      </c>
      <c r="R16" s="66">
        <f t="shared" si="0"/>
        <v>1</v>
      </c>
      <c r="S16" s="119">
        <f t="shared" si="5"/>
        <v>217.74593910952746</v>
      </c>
      <c r="T16" s="40">
        <f>S16/(1+'Assumed Values'!$C$6)^(Calculations!M16-'Assumed Values'!$C$5)</f>
        <v>96.681801040735138</v>
      </c>
    </row>
    <row r="17" spans="1:20" x14ac:dyDescent="0.25">
      <c r="A17" s="16" t="s">
        <v>107</v>
      </c>
      <c r="B17" s="43">
        <f>(B15/B14)^(1/(2045-2025))-1</f>
        <v>2.7530604906389478E-3</v>
      </c>
      <c r="M17" s="13">
        <f t="shared" si="1"/>
        <v>2031</v>
      </c>
      <c r="N17" s="53">
        <f t="shared" si="6"/>
        <v>2.7530604906389478E-3</v>
      </c>
      <c r="O17" s="55">
        <f t="shared" si="7"/>
        <v>0.25082216220919507</v>
      </c>
      <c r="P17" s="58">
        <f t="shared" si="4"/>
        <v>1</v>
      </c>
      <c r="Q17" s="119">
        <f>IF(M17=Year_Open_to_Traffic?,Calculations!$J$4,Calculations!Q16+Calculations!Q16*Calculations!N17*P17)</f>
        <v>218345.40685148697</v>
      </c>
      <c r="R17" s="66">
        <f t="shared" si="0"/>
        <v>1</v>
      </c>
      <c r="S17" s="119">
        <f t="shared" si="5"/>
        <v>218.34540685148698</v>
      </c>
      <c r="T17" s="40">
        <f>S17/(1+'Assumed Values'!$C$6)^(Calculations!M17-'Assumed Values'!$C$5)</f>
        <v>90.605581203125411</v>
      </c>
    </row>
    <row r="18" spans="1:20" x14ac:dyDescent="0.25">
      <c r="A18" s="16" t="s">
        <v>108</v>
      </c>
      <c r="B18" s="43">
        <f>(B15/B13)^(1/(2045-2018))-1</f>
        <v>5.2814410033021897E-3</v>
      </c>
      <c r="D18" s="109" t="s">
        <v>175</v>
      </c>
      <c r="E18" s="82"/>
      <c r="M18" s="60">
        <f t="shared" si="1"/>
        <v>2032</v>
      </c>
      <c r="N18" s="53">
        <f t="shared" si="6"/>
        <v>2.7530604906389478E-3</v>
      </c>
      <c r="O18" s="55">
        <f t="shared" si="7"/>
        <v>0.25151269079414984</v>
      </c>
      <c r="P18" s="58">
        <f t="shared" si="4"/>
        <v>1</v>
      </c>
      <c r="Q18" s="119">
        <f>IF(M18=Year_Open_to_Traffic?,Calculations!$J$4,Calculations!Q17+Calculations!Q17*Calculations!N18*P18)</f>
        <v>218946.52496440228</v>
      </c>
      <c r="R18" s="66">
        <f t="shared" si="0"/>
        <v>1</v>
      </c>
      <c r="S18" s="119">
        <f t="shared" si="5"/>
        <v>218.94652496440227</v>
      </c>
      <c r="T18" s="40">
        <f>S18/(1+'Assumed Values'!$C$6)^(Calculations!M18-'Assumed Values'!$C$5)</f>
        <v>84.911237242025337</v>
      </c>
    </row>
    <row r="19" spans="1:20" x14ac:dyDescent="0.25">
      <c r="D19" s="64" t="s">
        <v>89</v>
      </c>
      <c r="E19" s="106">
        <f>(Calculations!$E$6*Death_Rate)/100000000</f>
        <v>1.1190678157733907E-2</v>
      </c>
      <c r="M19" s="13">
        <f t="shared" si="1"/>
        <v>2033</v>
      </c>
      <c r="N19" s="53">
        <f t="shared" si="6"/>
        <v>2.7530604906389478E-3</v>
      </c>
      <c r="O19" s="55">
        <f t="shared" si="7"/>
        <v>0.25220512044606952</v>
      </c>
      <c r="P19" s="58">
        <f t="shared" si="4"/>
        <v>1</v>
      </c>
      <c r="Q19" s="119">
        <f>IF(M19=Year_Open_to_Traffic?,Calculations!$J$4,Calculations!Q18+Calculations!Q18*Calculations!N19*P19)</f>
        <v>219549.29799184448</v>
      </c>
      <c r="R19" s="66">
        <f t="shared" si="0"/>
        <v>1</v>
      </c>
      <c r="S19" s="119">
        <f t="shared" si="5"/>
        <v>219.54929799184447</v>
      </c>
      <c r="T19" s="40">
        <f>S19/(1+'Assumed Values'!$C$6)^(Calculations!M19-'Assumed Values'!$C$5)</f>
        <v>79.574769172418343</v>
      </c>
    </row>
    <row r="20" spans="1:20" x14ac:dyDescent="0.25">
      <c r="D20" s="64" t="s">
        <v>94</v>
      </c>
      <c r="E20" s="106">
        <f>(Calculations!$E$6*Incap_Injry_Rate)/100000000</f>
        <v>3.9884724716025985E-2</v>
      </c>
      <c r="M20" s="60">
        <f t="shared" si="1"/>
        <v>2034</v>
      </c>
      <c r="N20" s="53">
        <f t="shared" si="6"/>
        <v>2.7530604906389478E-3</v>
      </c>
      <c r="O20" s="55">
        <f t="shared" si="7"/>
        <v>0.25289945639870642</v>
      </c>
      <c r="P20" s="58">
        <f t="shared" si="4"/>
        <v>1</v>
      </c>
      <c r="Q20" s="119">
        <f>IF(M20=Year_Open_to_Traffic?,Calculations!$J$4,Calculations!Q19+Calculations!Q19*Calculations!N20*P20)</f>
        <v>220153.73048989335</v>
      </c>
      <c r="R20" s="66">
        <f t="shared" si="0"/>
        <v>1</v>
      </c>
      <c r="S20" s="119">
        <f t="shared" si="5"/>
        <v>220.15373048989335</v>
      </c>
      <c r="T20" s="40">
        <f>S20/(1+'Assumed Values'!$C$6)^(Calculations!M20-'Assumed Values'!$C$5)</f>
        <v>74.57368535091463</v>
      </c>
    </row>
    <row r="21" spans="1:20" x14ac:dyDescent="0.25">
      <c r="D21" s="64" t="s">
        <v>93</v>
      </c>
      <c r="E21" s="106">
        <f>(Calculations!$E$6*Nonincap_Injry_Rate)/100000000</f>
        <v>0.19569339752755191</v>
      </c>
      <c r="M21" s="13">
        <f>M20+1</f>
        <v>2035</v>
      </c>
      <c r="N21" s="53">
        <f t="shared" si="6"/>
        <v>2.7530604906389478E-3</v>
      </c>
      <c r="O21" s="55">
        <f>O20*(1+IFERROR(_2025_2040_V_C_Growth,_2018_2045_V_C_Growth))</f>
        <v>0.25359570390022179</v>
      </c>
      <c r="P21" s="58">
        <f t="shared" si="4"/>
        <v>1</v>
      </c>
      <c r="Q21" s="119">
        <f>IF(M21=Year_Open_to_Traffic?,Calculations!$J$4,Calculations!Q20+Calculations!Q20*Calculations!N21*P21)</f>
        <v>220759.82702717185</v>
      </c>
      <c r="R21" s="66">
        <f t="shared" si="0"/>
        <v>1</v>
      </c>
      <c r="S21" s="119">
        <f t="shared" si="5"/>
        <v>220.75982702717184</v>
      </c>
      <c r="T21" s="40">
        <f>S21/(1+'Assumed Values'!$C$6)^(Calculations!M21-'Assumed Values'!$C$5)</f>
        <v>69.886907680089323</v>
      </c>
    </row>
    <row r="22" spans="1:20" x14ac:dyDescent="0.25">
      <c r="D22" s="64" t="s">
        <v>92</v>
      </c>
      <c r="E22" s="106">
        <f>(Calculations!$E$6*Poss_Injry_Rate)/100000000</f>
        <v>0.30846100050163971</v>
      </c>
      <c r="M22" s="60">
        <f>M21+1</f>
        <v>2036</v>
      </c>
      <c r="N22" s="53">
        <f t="shared" si="6"/>
        <v>2.7530604906389478E-3</v>
      </c>
      <c r="O22" s="55">
        <f t="shared" si="7"/>
        <v>0.25429386821322525</v>
      </c>
      <c r="P22" s="58">
        <f t="shared" si="4"/>
        <v>1</v>
      </c>
      <c r="Q22" s="119">
        <f>IF(M22=Year_Open_to_Traffic?,Calculations!$J$4,Calculations!Q21+Calculations!Q21*Calculations!N22*P22)</f>
        <v>221367.59218488063</v>
      </c>
      <c r="R22" s="66">
        <f t="shared" si="0"/>
        <v>1</v>
      </c>
      <c r="S22" s="119">
        <f t="shared" si="5"/>
        <v>221.36759218488064</v>
      </c>
      <c r="T22" s="40">
        <f>S22/(1+'Assumed Values'!$C$6)^(Calculations!M22-'Assumed Values'!$C$5)</f>
        <v>65.494682770501214</v>
      </c>
    </row>
    <row r="23" spans="1:20" x14ac:dyDescent="0.25">
      <c r="D23" s="64" t="s">
        <v>91</v>
      </c>
      <c r="E23" s="106">
        <f>(Calculations!$E$6*Non_Injry_Rate)/100000000</f>
        <v>2.9144543089257251</v>
      </c>
      <c r="M23" s="13">
        <f t="shared" si="1"/>
        <v>2037</v>
      </c>
      <c r="N23" s="53">
        <f t="shared" si="6"/>
        <v>2.7530604906389478E-3</v>
      </c>
      <c r="O23" s="55">
        <f t="shared" si="7"/>
        <v>0.25499395461481483</v>
      </c>
      <c r="P23" s="58">
        <f t="shared" si="4"/>
        <v>1</v>
      </c>
      <c r="Q23" s="119">
        <f>IF(M23=Year_Open_to_Traffic?,Calculations!$J$4,Calculations!Q22+Calculations!Q22*Calculations!N23*P23)</f>
        <v>221977.0305568327</v>
      </c>
      <c r="R23" s="66">
        <f t="shared" si="0"/>
        <v>1</v>
      </c>
      <c r="S23" s="119">
        <f t="shared" si="5"/>
        <v>221.97703055683272</v>
      </c>
      <c r="T23" s="40">
        <f>S23/(1+'Assumed Values'!$C$6)^(Calculations!M23-'Assumed Values'!$C$5)</f>
        <v>61.378498685965994</v>
      </c>
    </row>
    <row r="24" spans="1:20" x14ac:dyDescent="0.25">
      <c r="D24" s="64" t="s">
        <v>90</v>
      </c>
      <c r="E24" s="106">
        <f>(Calculations!$E$6*Unkn_Injry_Rate)/100000000</f>
        <v>9.6411996435861347E-2</v>
      </c>
      <c r="M24" s="60">
        <f t="shared" si="1"/>
        <v>2038</v>
      </c>
      <c r="N24" s="53">
        <f t="shared" si="6"/>
        <v>2.7530604906389478E-3</v>
      </c>
      <c r="O24" s="55">
        <f t="shared" si="7"/>
        <v>0.25569596839661668</v>
      </c>
      <c r="P24" s="58">
        <f t="shared" si="4"/>
        <v>1</v>
      </c>
      <c r="Q24" s="119">
        <f>IF(M24=Year_Open_to_Traffic?,Calculations!$J$4,Calculations!Q23+Calculations!Q23*Calculations!N24*P24)</f>
        <v>222588.14674948808</v>
      </c>
      <c r="R24" s="66">
        <f t="shared" si="0"/>
        <v>1</v>
      </c>
      <c r="S24" s="119">
        <f t="shared" si="5"/>
        <v>222.58814674948809</v>
      </c>
      <c r="T24" s="40">
        <f>S24/(1+'Assumed Values'!$C$6)^(Calculations!M24-'Assumed Values'!$C$5)</f>
        <v>57.52100692118978</v>
      </c>
    </row>
    <row r="25" spans="1:20" x14ac:dyDescent="0.25">
      <c r="M25" s="13">
        <f t="shared" si="1"/>
        <v>2039</v>
      </c>
      <c r="N25" s="53">
        <f t="shared" si="6"/>
        <v>2.7530604906389478E-3</v>
      </c>
      <c r="O25" s="55">
        <f t="shared" si="7"/>
        <v>0.25639991486482505</v>
      </c>
      <c r="P25" s="58">
        <f t="shared" si="4"/>
        <v>1</v>
      </c>
      <c r="Q25" s="119">
        <f>IF(M25=Year_Open_to_Traffic?,Calculations!$J$4,Calculations!Q24+Calculations!Q24*Calculations!N25*P25)</f>
        <v>223200.94538198863</v>
      </c>
      <c r="R25" s="66">
        <f t="shared" si="0"/>
        <v>1</v>
      </c>
      <c r="S25" s="119">
        <f t="shared" si="5"/>
        <v>223.20094538198862</v>
      </c>
      <c r="T25" s="40">
        <f>S25/(1+'Assumed Values'!$C$6)^(Calculations!M25-'Assumed Values'!$C$5)</f>
        <v>53.905949282921746</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2.7530604906389478E-3</v>
      </c>
      <c r="O26" s="55">
        <f t="shared" si="7"/>
        <v>0.25710579934024258</v>
      </c>
      <c r="P26" s="58">
        <f t="shared" si="4"/>
        <v>1</v>
      </c>
      <c r="Q26" s="119">
        <f>IF(M26=Year_Open_to_Traffic?,Calculations!$J$4,Calculations!Q25+Calculations!Q25*Calculations!N26*P26)</f>
        <v>223815.43108619304</v>
      </c>
      <c r="R26" s="66">
        <f t="shared" si="0"/>
        <v>1</v>
      </c>
      <c r="S26" s="119">
        <f t="shared" si="5"/>
        <v>223.81543108619303</v>
      </c>
      <c r="T26" s="40">
        <f>S26/(1+'Assumed Values'!$C$6)^(Calculations!M26-'Assumed Values'!$C$5)</f>
        <v>50.518089366451349</v>
      </c>
    </row>
    <row r="27" spans="1:20" x14ac:dyDescent="0.25">
      <c r="A27" s="117"/>
      <c r="B27" s="117"/>
      <c r="D27" s="70">
        <f>Calculations!E19</f>
        <v>1.1190678157733907E-2</v>
      </c>
      <c r="E27" s="70">
        <f>Calculations!E20</f>
        <v>3.9884724716025985E-2</v>
      </c>
      <c r="F27" s="70">
        <f>Calculations!E21</f>
        <v>0.19569339752755191</v>
      </c>
      <c r="G27" s="70">
        <f>Calculations!E22</f>
        <v>0.30846100050163971</v>
      </c>
      <c r="H27" s="70">
        <f>Calculations!E23</f>
        <v>2.9144543089257251</v>
      </c>
      <c r="I27" s="70">
        <f>Calculations!E24</f>
        <v>9.6411996435861347E-2</v>
      </c>
      <c r="J27" s="118"/>
      <c r="L27" s="103"/>
      <c r="M27" s="13">
        <f t="shared" si="1"/>
        <v>2041</v>
      </c>
      <c r="N27" s="53">
        <f t="shared" si="6"/>
        <v>2.7530604906389478E-3</v>
      </c>
      <c r="O27" s="55">
        <f t="shared" si="7"/>
        <v>0.25781362715832035</v>
      </c>
      <c r="P27" s="58">
        <f t="shared" si="4"/>
        <v>1</v>
      </c>
      <c r="Q27" s="119">
        <f>IF(M27=Year_Open_to_Traffic?,Calculations!$J$4,Calculations!Q26+Calculations!Q26*Calculations!N27*P27)</f>
        <v>224431.60850671175</v>
      </c>
      <c r="R27" s="66">
        <f t="shared" si="0"/>
        <v>0</v>
      </c>
      <c r="S27" s="119">
        <f t="shared" si="5"/>
        <v>0</v>
      </c>
      <c r="T27" s="40">
        <f>S27/(1+'Assumed Values'!$C$6)^(Calculations!M27-'Assumed Values'!$C$5)</f>
        <v>0</v>
      </c>
    </row>
    <row r="28" spans="1:20" x14ac:dyDescent="0.25">
      <c r="A28" s="49" t="s">
        <v>95</v>
      </c>
      <c r="B28" s="67" t="s">
        <v>96</v>
      </c>
      <c r="D28" s="71">
        <f>D$27*'Value of Statistical Life'!D17</f>
        <v>0</v>
      </c>
      <c r="E28" s="71">
        <f>E$27*'Value of Statistical Life'!E17</f>
        <v>1.370837988489813E-3</v>
      </c>
      <c r="F28" s="71">
        <f>F$27*'Value of Statistical Life'!F17</f>
        <v>1.6334527891624758E-2</v>
      </c>
      <c r="G28" s="71">
        <f>G$27*'Value of Statistical Life'!G17</f>
        <v>7.2294004687569302E-2</v>
      </c>
      <c r="H28" s="71">
        <f>H$27*'Value of Statistical Life'!H17</f>
        <v>2.6968611502213307</v>
      </c>
      <c r="I28" s="71">
        <f>I$27*'Value of Statistical Life'!I17</f>
        <v>4.2108903563326798E-2</v>
      </c>
      <c r="J28" s="71">
        <f>SUM(D28:I28)</f>
        <v>2.8289694243523411</v>
      </c>
      <c r="K28" s="99"/>
      <c r="L28" s="103"/>
      <c r="M28" s="60">
        <f t="shared" si="1"/>
        <v>2042</v>
      </c>
      <c r="N28" s="53">
        <f t="shared" si="6"/>
        <v>2.7530604906389478E-3</v>
      </c>
      <c r="O28" s="55">
        <f t="shared" si="7"/>
        <v>0.25852340366919824</v>
      </c>
      <c r="P28" s="58">
        <f t="shared" si="4"/>
        <v>1</v>
      </c>
      <c r="Q28" s="119">
        <f>IF(M28=Year_Open_to_Traffic?,Calculations!$J$4,Calculations!Q27+Calculations!Q27*Calculations!N28*P28)</f>
        <v>225049.48230094212</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2.211568100778925E-2</v>
      </c>
      <c r="F29" s="71">
        <f>F$27*'Value of Statistical Life'!F18</f>
        <v>0.15037667746209671</v>
      </c>
      <c r="G29" s="71">
        <f>G$27*'Value of Statistical Life'!G18</f>
        <v>0.21267152140586051</v>
      </c>
      <c r="H29" s="71">
        <f>H$27*'Value of Statistical Life'!H18</f>
        <v>0.21150194919873985</v>
      </c>
      <c r="I29" s="71">
        <f>I$27*'Value of Statistical Life'!I18</f>
        <v>4.0241403192364168E-2</v>
      </c>
      <c r="J29" s="71">
        <f t="shared" ref="J29:J34" si="8">SUM(D29:I29)</f>
        <v>0.63690723226685042</v>
      </c>
      <c r="K29" s="99"/>
      <c r="L29" s="103"/>
      <c r="M29" s="13">
        <f t="shared" si="1"/>
        <v>2043</v>
      </c>
      <c r="N29" s="53">
        <f t="shared" si="6"/>
        <v>2.7530604906389478E-3</v>
      </c>
      <c r="O29" s="55">
        <f t="shared" si="7"/>
        <v>0.25923513423774541</v>
      </c>
      <c r="P29" s="58">
        <f t="shared" si="4"/>
        <v>1</v>
      </c>
      <c r="Q29" s="119">
        <f>IF(M29=Year_Open_to_Traffic?,Calculations!$J$4,Calculations!Q28+Calculations!Q28*Calculations!N29*P29)</f>
        <v>225669.05713910359</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8.3390982436267122E-3</v>
      </c>
      <c r="F30" s="71">
        <f>F$27*'Value of Statistical Life'!F19</f>
        <v>2.1326666462552605E-2</v>
      </c>
      <c r="G30" s="71">
        <f>G$27*'Value of Statistical Life'!G19</f>
        <v>1.9713742542059792E-2</v>
      </c>
      <c r="H30" s="71">
        <f>H$27*'Value of Statistical Life'!H19</f>
        <v>5.770619531672936E-3</v>
      </c>
      <c r="I30" s="71">
        <f>I$27*'Value of Statistical Life'!I19</f>
        <v>8.5536723237896184E-3</v>
      </c>
      <c r="J30" s="71">
        <f t="shared" si="8"/>
        <v>6.3703799103701664E-2</v>
      </c>
      <c r="K30" s="99"/>
      <c r="L30" s="103"/>
      <c r="M30" s="13">
        <f t="shared" si="1"/>
        <v>2044</v>
      </c>
      <c r="N30" s="53">
        <f t="shared" si="6"/>
        <v>2.7530604906389478E-3</v>
      </c>
      <c r="O30" s="55">
        <f t="shared" si="7"/>
        <v>0.25994882424360083</v>
      </c>
      <c r="P30" s="58">
        <f t="shared" si="4"/>
        <v>1</v>
      </c>
      <c r="Q30" s="119">
        <f>IF(M30=Year_Open_to_Traffic?,Calculations!$J$4,Calculations!Q29+Calculations!Q29*Calculations!N30*P30)</f>
        <v>226290.337704273</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5.7581577072526712E-3</v>
      </c>
      <c r="F31" s="71">
        <f>F$27*'Value of Statistical Life'!F20</f>
        <v>6.2445763151041814E-3</v>
      </c>
      <c r="G31" s="71">
        <f>G$27*'Value of Statistical Life'!G20</f>
        <v>3.3036173153725614E-3</v>
      </c>
      <c r="H31" s="71">
        <f>H$27*'Value of Statistical Life'!H20</f>
        <v>2.3315634471405804E-4</v>
      </c>
      <c r="I31" s="71">
        <f>I$27*'Value of Statistical Life'!I20</f>
        <v>4.6441658683154408E-3</v>
      </c>
      <c r="J31" s="71">
        <f t="shared" si="8"/>
        <v>2.0183673550758913E-2</v>
      </c>
      <c r="K31" s="99"/>
      <c r="L31" s="103"/>
      <c r="M31" s="13">
        <f t="shared" si="1"/>
        <v>2045</v>
      </c>
      <c r="N31" s="53">
        <f t="shared" si="6"/>
        <v>2.7530604906389478E-3</v>
      </c>
      <c r="O31" s="55">
        <f t="shared" si="7"/>
        <v>0.26066447908121393</v>
      </c>
      <c r="P31" s="58">
        <f t="shared" si="4"/>
        <v>1</v>
      </c>
      <c r="Q31" s="119">
        <f>IF(M31=Year_Open_to_Traffic?,Calculations!$J$4,Calculations!Q30+Calculations!Q30*Calculations!N31*P31)</f>
        <v>226913.32869241998</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1.5898051271807958E-3</v>
      </c>
      <c r="F32" s="71">
        <f>F$27*'Value of Statistical Life'!F21</f>
        <v>1.2132990646708218E-3</v>
      </c>
      <c r="G32" s="71">
        <f>G$27*'Value of Statistical Life'!G21</f>
        <v>4.380146207123284E-4</v>
      </c>
      <c r="H32" s="71">
        <f>H$27*'Value of Statistical Life'!H21</f>
        <v>0</v>
      </c>
      <c r="I32" s="71">
        <f>I$27*'Value of Statistical Life'!I21</f>
        <v>5.9486201800926447E-4</v>
      </c>
      <c r="J32" s="71">
        <f t="shared" si="8"/>
        <v>3.8359808305732106E-3</v>
      </c>
      <c r="K32" s="99"/>
      <c r="L32" s="103"/>
      <c r="M32" s="13">
        <f t="shared" si="1"/>
        <v>2046</v>
      </c>
      <c r="N32" s="53">
        <f t="shared" si="6"/>
        <v>2.7530604906389478E-3</v>
      </c>
      <c r="O32" s="55">
        <f t="shared" si="7"/>
        <v>0.26138210415988539</v>
      </c>
      <c r="P32" s="58">
        <f t="shared" si="4"/>
        <v>1</v>
      </c>
      <c r="Q32" s="119">
        <f>IF(M32=Year_Open_to_Traffic?,Calculations!$J$4,Calculations!Q31+Calculations!Q31*Calculations!N32*P32)</f>
        <v>227538.03481244243</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7.1114464168674327E-4</v>
      </c>
      <c r="F33" s="71">
        <f>F$27*'Value of Statistical Life'!F22</f>
        <v>1.9765033150282745E-4</v>
      </c>
      <c r="G33" s="71">
        <f>G$27*'Value of Statistical Life'!G22</f>
        <v>4.0099930065213162E-5</v>
      </c>
      <c r="H33" s="71">
        <f>H$27*'Value of Statistical Life'!H22</f>
        <v>8.7433629267771762E-5</v>
      </c>
      <c r="I33" s="71">
        <f>I$27*'Value of Statistical Life'!I22</f>
        <v>2.6898947005605313E-4</v>
      </c>
      <c r="J33" s="71">
        <f t="shared" si="8"/>
        <v>1.3053180025786087E-3</v>
      </c>
      <c r="K33" s="99"/>
      <c r="L33" s="103"/>
      <c r="M33" s="13">
        <f t="shared" si="1"/>
        <v>2047</v>
      </c>
      <c r="N33" s="53">
        <f t="shared" si="6"/>
        <v>2.7530604906389478E-3</v>
      </c>
      <c r="O33" s="55">
        <f t="shared" si="7"/>
        <v>0.26210170490380802</v>
      </c>
      <c r="P33" s="58">
        <f t="shared" si="4"/>
        <v>1</v>
      </c>
      <c r="Q33" s="119">
        <f>IF(M33=Year_Open_to_Traffic?,Calculations!$J$4,Calculations!Q32+Calculations!Q32*Calculations!N33*P33)</f>
        <v>228164.46078620219</v>
      </c>
      <c r="R33" s="66">
        <f t="shared" si="0"/>
        <v>0</v>
      </c>
      <c r="S33" s="119">
        <f t="shared" si="5"/>
        <v>0</v>
      </c>
      <c r="T33" s="40">
        <f>S33/(1+'Assumed Values'!$C$6)^(Calculations!M33-'Assumed Values'!$C$5)</f>
        <v>0</v>
      </c>
    </row>
    <row r="34" spans="1:20" x14ac:dyDescent="0.25">
      <c r="A34" s="49" t="s">
        <v>71</v>
      </c>
      <c r="B34" s="50" t="s">
        <v>72</v>
      </c>
      <c r="D34" s="71">
        <f>D$27*'Value of Statistical Life'!D23</f>
        <v>1.1190678157733907E-2</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1.1190678157733907E-2</v>
      </c>
      <c r="K34" s="99"/>
      <c r="L34" s="103"/>
      <c r="M34" s="13">
        <f t="shared" si="1"/>
        <v>2048</v>
      </c>
      <c r="N34" s="53">
        <f t="shared" si="6"/>
        <v>2.7530604906389478E-3</v>
      </c>
      <c r="O34" s="55">
        <f t="shared" si="7"/>
        <v>0.26282328675210781</v>
      </c>
      <c r="P34" s="58">
        <f t="shared" si="4"/>
        <v>1</v>
      </c>
      <c r="Q34" s="119">
        <f>IF(M34=Year_Open_to_Traffic?,Calculations!$J$4,Calculations!Q33+Calculations!Q33*Calculations!N34*P34)</f>
        <v>228792.61134856063</v>
      </c>
      <c r="R34" s="66">
        <f t="shared" si="0"/>
        <v>0</v>
      </c>
      <c r="S34" s="119">
        <f t="shared" si="5"/>
        <v>0</v>
      </c>
      <c r="T34" s="40">
        <f>S34/(1+'Assumed Values'!$C$6)^(Calculations!M34-'Assumed Values'!$C$5)</f>
        <v>0</v>
      </c>
    </row>
    <row r="35" spans="1:20" x14ac:dyDescent="0.25">
      <c r="J35" s="86"/>
      <c r="K35" s="98"/>
      <c r="M35" s="13">
        <f t="shared" si="1"/>
        <v>2049</v>
      </c>
      <c r="N35" s="53">
        <f t="shared" si="6"/>
        <v>2.7530604906389478E-3</v>
      </c>
      <c r="O35" s="55">
        <f t="shared" si="7"/>
        <v>0.26354685515888493</v>
      </c>
      <c r="P35" s="58">
        <f t="shared" si="4"/>
        <v>1</v>
      </c>
      <c r="Q35" s="119">
        <f>IF(M35=Year_Open_to_Traffic?,Calculations!$J$4,Calculations!Q34+Calculations!Q34*Calculations!N35*P35)</f>
        <v>229422.49124741447</v>
      </c>
      <c r="R35" s="66">
        <f t="shared" si="0"/>
        <v>0</v>
      </c>
      <c r="S35" s="119">
        <f t="shared" si="5"/>
        <v>0</v>
      </c>
      <c r="T35" s="40">
        <f>S35/(1+'Assumed Values'!$C$6)^(Calculations!M35-'Assumed Values'!$C$5)</f>
        <v>0</v>
      </c>
    </row>
    <row r="36" spans="1:20" x14ac:dyDescent="0.25">
      <c r="M36" s="13">
        <f t="shared" si="1"/>
        <v>2050</v>
      </c>
      <c r="N36" s="53">
        <f t="shared" si="6"/>
        <v>2.7530604906389478E-3</v>
      </c>
      <c r="O36" s="55">
        <f t="shared" si="7"/>
        <v>0.26427241559325498</v>
      </c>
      <c r="P36" s="58">
        <f t="shared" si="4"/>
        <v>1</v>
      </c>
      <c r="Q36" s="119">
        <f>IF(M36=Year_Open_to_Traffic?,Calculations!$J$4,Calculations!Q35+Calculations!Q35*Calculations!N36*P36)</f>
        <v>230054.10524373167</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1990.1930022169611</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codeName="Sheet6">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2018-10-24T20:47:13Z</dcterms:modified>
</cp:coreProperties>
</file>