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96_FM565/"/>
    </mc:Choice>
  </mc:AlternateContent>
  <xr:revisionPtr revIDLastSave="17" documentId="8_{A3C623DF-8BD6-4E00-AA51-CD924B928915}" xr6:coauthVersionLast="40" xr6:coauthVersionMax="40" xr10:uidLastSave="{E9BEFC32-D44B-4653-8024-C2F1912D2DA4}"/>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<sst xmlns="http://schemas.openxmlformats.org/spreadsheetml/2006/main" count="263" uniqueCount="131">
  <si>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</si>
  <si>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</si>
  <si>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</si>
  <si>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</si>
  <si>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</si>
  <si>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</si>
  <si>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</si>
  <si>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</si>
  <si>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</si>
  <si>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</si>
  <si>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</si>
  <si>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</si>
  <si>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</si>
  <si>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</si>
  <si>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</si>
  <si>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</si>
  <si>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</si>
  <si>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</si>
  <si>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</si>
  <si>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</si>
  <si>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</si>
  <si>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</si>
  <si>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</si>
  <si>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</si>
  <si>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</si>
  <si>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</si>
  <si>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</si>
  <si>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</si>
  <si>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</si>
  <si>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</si>
  <si>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</si>
  <si>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</si>
  <si>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</si>
  <si>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</si>
  <si>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</si>
  <si>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</si>
  <si>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</si>
  <si>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</si>
  <si>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</si>
  <si>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</si>
  <si>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</si>
  <si>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</si>
  <si>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</si>
  <si>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</si>
  <si>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</si>
  <si>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</si>
  <si>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</si>
  <si>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565 Intersection Improvements</t>
  </si>
  <si>
    <t>Data entered by the sponsors</t>
  </si>
  <si>
    <t>Application ID Number:</t>
  </si>
  <si>
    <t>Data populated/calculated based on inputs</t>
  </si>
  <si>
    <t>Sponsor ID Number (CSJ, etc.):</t>
  </si>
  <si>
    <t>1024-01</t>
  </si>
  <si>
    <t xml:space="preserve">HGAC regional travel demand model data provided by HGAC </t>
  </si>
  <si>
    <t>Project County</t>
  </si>
  <si>
    <t>Chambers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</si>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</sst>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1" zoomScaleNormal="100" workbookViewId="0" xr3:uid="{51F8DEE0-4D01-5F28-A812-FC0BD7CAC4A5}">
      <selection activeCell="B19" sqref="B1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261</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2023</v>
      </c>
    </row>
    <row r="14" spans="1:5">
      <c r="A14" s="5" t="s">
        <v>59</v>
      </c>
      <c r="B14" s="5" t="s">
        <v>60</v>
      </c>
    </row>
    <row r="15" spans="1:5">
      <c r="A15" s="85" t="s">
        <v>61</v>
      </c>
      <c r="B15" s="8" t="s">
        <v>62</v>
      </c>
    </row>
    <row r="16" spans="1:5">
      <c r="A16" s="85" t="s">
        <v>63</v>
      </c>
      <c r="B16" s="8">
        <v>6.75</v>
      </c>
    </row>
    <row r="17" spans="1:2">
      <c r="A17" s="86" t="s">
        <v>64</v>
      </c>
      <c r="B17" s="8">
        <v>34</v>
      </c>
    </row>
    <row r="18" spans="1:2">
      <c r="A18" s="86" t="s">
        <v>65</v>
      </c>
      <c r="B18" s="8">
        <v>40</v>
      </c>
    </row>
    <row r="19" spans="1:2">
      <c r="A19" s="76" t="s">
        <v>66</v>
      </c>
      <c r="B19" s="77">
        <f>VLOOKUP(B14,'Service Life'!C6:D8,2,FALSE)</f>
        <v>20</v>
      </c>
    </row>
    <row r="21" spans="1:2">
      <c r="A21" s="81" t="s">
        <v>67</v>
      </c>
    </row>
    <row r="22" spans="1:2" ht="20.25" customHeight="1">
      <c r="A22" s="86" t="s">
        <v>68</v>
      </c>
      <c r="B22" s="95">
        <v>9553</v>
      </c>
    </row>
    <row r="23" spans="1:2" ht="30">
      <c r="A23" s="94" t="s">
        <v>69</v>
      </c>
      <c r="B23" s="96">
        <v>11035</v>
      </c>
    </row>
    <row r="24" spans="1:2" ht="30">
      <c r="A24" s="94" t="s">
        <v>70</v>
      </c>
      <c r="B24" s="96">
        <v>15520</v>
      </c>
    </row>
    <row r="27" spans="1:2" ht="18.75">
      <c r="A27" s="79" t="s">
        <v>71</v>
      </c>
      <c r="B27" s="80"/>
    </row>
    <row r="29" spans="1:2">
      <c r="A29" s="87" t="s">
        <v>72</v>
      </c>
    </row>
    <row r="30" spans="1:2">
      <c r="A30" s="84" t="s">
        <v>73</v>
      </c>
      <c r="B30" s="35">
        <f>'Benefit Calculations'!M37</f>
        <v>1411.1608981369441</v>
      </c>
    </row>
    <row r="31" spans="1:2">
      <c r="A31" s="84" t="s">
        <v>74</v>
      </c>
      <c r="B31" s="35">
        <f>'Benefit Calculations'!Q37</f>
        <v>436.00390380968923</v>
      </c>
    </row>
    <row r="32" spans="1:2">
      <c r="B32" s="88"/>
    </row>
    <row r="33" spans="1:9">
      <c r="A33" s="87" t="s">
        <v>75</v>
      </c>
      <c r="B33" s="88"/>
    </row>
    <row r="34" spans="1:9">
      <c r="A34" s="84" t="s">
        <v>76</v>
      </c>
      <c r="B34" s="35">
        <f>$B$30+$B$31</f>
        <v>1847.1648019466334</v>
      </c>
    </row>
    <row r="35" spans="1:9">
      <c r="I35" s="89"/>
    </row>
    <row r="36" spans="1:9">
      <c r="A36" s="87" t="s">
        <v>77</v>
      </c>
    </row>
    <row r="37" spans="1:9">
      <c r="A37" s="84" t="s">
        <v>78</v>
      </c>
      <c r="B37" s="91">
        <f>'Benefit Calculations'!K37</f>
        <v>0.47962730427334738</v>
      </c>
    </row>
    <row r="38" spans="1:9">
      <c r="A38" s="84" t="s">
        <v>79</v>
      </c>
      <c r="B38" s="91">
        <f>'Benefit Calculations'!O37</f>
        <v>0.58404596293820621</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6.8016901612299993E-2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1.5487699769399999E-2</v>
      </c>
      <c r="F4" s="54">
        <v>2018</v>
      </c>
      <c r="G4" s="63">
        <f>'Inputs &amp; Outputs'!B22</f>
        <v>9553</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6.7005001008500001E-2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1.4255500398599999E-2</v>
      </c>
      <c r="F5" s="54">
        <f t="shared" ref="F5:F36" si="2">F4+1</f>
        <v>2019</v>
      </c>
      <c r="G5" s="63">
        <f>G4+G4*H5</f>
        <v>9751.8561481709803</v>
      </c>
      <c r="H5" s="62">
        <f>$C$9</f>
        <v>2.0816094229140658E-2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9954.851704660332</v>
      </c>
      <c r="H6" s="62">
        <f t="shared" ref="H6:H11" si="7">$C$9</f>
        <v>2.0816094229140658E-2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10162.072835781662</v>
      </c>
      <c r="H7" s="62">
        <f t="shared" si="7"/>
        <v>2.0816094229140658E-2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10373.607501494684</v>
      </c>
      <c r="H8" s="62">
        <f t="shared" si="7"/>
        <v>2.0816094229140658E-2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2.0816094229140658E-2</v>
      </c>
      <c r="F9" s="54">
        <f t="shared" si="2"/>
        <v>2023</v>
      </c>
      <c r="G9" s="63">
        <f t="shared" si="6"/>
        <v>10589.545492741918</v>
      </c>
      <c r="H9" s="62">
        <f t="shared" si="7"/>
        <v>2.0816094229140658E-2</v>
      </c>
      <c r="I9" s="54">
        <f>IF(AND(F9&gt;='Inputs &amp; Outputs'!B$13,F9&lt;'Inputs &amp; Outputs'!B$13+'Inputs &amp; Outputs'!B$19),1,0)</f>
        <v>1</v>
      </c>
      <c r="J9" s="55">
        <f>I9*'Inputs &amp; Outputs'!B$16*'Benefit Calculations'!G9*('Benefit Calculations'!C$4-'Benefit Calculations'!C$5)</f>
        <v>72.330080476992975</v>
      </c>
      <c r="K9" s="71">
        <f t="shared" si="3"/>
        <v>2.0729886025346759E-2</v>
      </c>
      <c r="L9" s="56">
        <f>K9*'Assumed Values'!$C$8</f>
        <v>155.63998427830347</v>
      </c>
      <c r="M9" s="57">
        <f t="shared" si="0"/>
        <v>110.9691577654858</v>
      </c>
      <c r="N9" s="55">
        <f>I9*'Inputs &amp; Outputs'!B$16*'Benefit Calculations'!G9*('Benefit Calculations'!D$4-'Benefit Calculations'!D$5)</f>
        <v>88.076911229198316</v>
      </c>
      <c r="O9" s="71">
        <f t="shared" si="4"/>
        <v>2.5242946215532421E-2</v>
      </c>
      <c r="P9" s="56">
        <f>ABS(O9*'Assumed Values'!$C$7)</f>
        <v>48.087812540589262</v>
      </c>
      <c r="Q9" s="57">
        <f t="shared" si="1"/>
        <v>34.285945743041573</v>
      </c>
      <c r="T9" s="68">
        <f t="shared" si="5"/>
        <v>1.8805820924018175E-2</v>
      </c>
      <c r="U9" s="69">
        <f>T9*'Assumed Values'!$D$8</f>
        <v>0</v>
      </c>
    </row>
    <row r="10" spans="2:21">
      <c r="B10" s="15" t="s">
        <v>99</v>
      </c>
      <c r="C10" s="53">
        <f>('Inputs &amp; Outputs'!B24/'Inputs &amp; Outputs'!B23)^(1/(2045-2020))-1</f>
        <v>1.3735779776728796E-2</v>
      </c>
      <c r="F10" s="54">
        <f t="shared" si="2"/>
        <v>2024</v>
      </c>
      <c r="G10" s="63">
        <f t="shared" si="6"/>
        <v>10809.978469562606</v>
      </c>
      <c r="H10" s="62">
        <f t="shared" si="7"/>
        <v>2.0816094229140658E-2</v>
      </c>
      <c r="I10" s="54">
        <f>IF(AND(F10&gt;='Inputs &amp; Outputs'!B$13,F10&lt;'Inputs &amp; Outputs'!B$13+'Inputs &amp; Outputs'!B$19),1,0)</f>
        <v>1</v>
      </c>
      <c r="J10" s="55">
        <f>I10*'Inputs &amp; Outputs'!B$16*'Benefit Calculations'!G10*('Benefit Calculations'!C$4-'Benefit Calculations'!C$5)</f>
        <v>73.835710247803391</v>
      </c>
      <c r="K10" s="71">
        <f t="shared" si="3"/>
        <v>2.1161401286209722E-2</v>
      </c>
      <c r="L10" s="56">
        <f>K10*'Assumed Values'!$C$8</f>
        <v>158.8798008568626</v>
      </c>
      <c r="M10" s="57">
        <f t="shared" si="0"/>
        <v>105.86831982248648</v>
      </c>
      <c r="N10" s="55">
        <f>I10*'Inputs &amp; Outputs'!B$16*'Benefit Calculations'!G10*('Benefit Calculations'!D$4-'Benefit Calculations'!D$5)</f>
        <v>89.910328512756976</v>
      </c>
      <c r="O10" s="71">
        <f t="shared" si="4"/>
        <v>2.5768405762576076E-2</v>
      </c>
      <c r="P10" s="56">
        <f>ABS(O10*'Assumed Values'!$C$7)</f>
        <v>49.088812977707427</v>
      </c>
      <c r="Q10" s="57">
        <f t="shared" si="1"/>
        <v>32.709948804078451</v>
      </c>
      <c r="T10" s="68">
        <f t="shared" si="5"/>
        <v>1.9197284664428882E-2</v>
      </c>
      <c r="U10" s="69">
        <f>T10*'Assumed Values'!$D$8</f>
        <v>0</v>
      </c>
    </row>
    <row r="11" spans="2:21">
      <c r="B11" s="15" t="s">
        <v>100</v>
      </c>
      <c r="C11" s="53">
        <f>('Inputs &amp; Outputs'!B24/'Inputs &amp; Outputs'!B22)^(1/(2045-2018))-1</f>
        <v>1.8135609798819452E-2</v>
      </c>
      <c r="F11" s="54">
        <f t="shared" si="2"/>
        <v>2025</v>
      </c>
      <c r="G11" s="63">
        <f>'Inputs &amp; Outputs'!$B$23</f>
        <v>11035</v>
      </c>
      <c r="H11" s="62">
        <f t="shared" si="7"/>
        <v>2.0816094229140658E-2</v>
      </c>
      <c r="I11" s="54">
        <f>IF(AND(F11&gt;='Inputs &amp; Outputs'!B$13,F11&lt;'Inputs &amp; Outputs'!B$13+'Inputs &amp; Outputs'!B$19),1,0)</f>
        <v>1</v>
      </c>
      <c r="J11" s="55">
        <f>I11*'Inputs &amp; Outputs'!B$16*'Benefit Calculations'!G11*('Benefit Calculations'!C$4-'Benefit Calculations'!C$5)</f>
        <v>75.372681349797176</v>
      </c>
      <c r="K11" s="71">
        <f t="shared" si="3"/>
        <v>2.1601899009404117E-2</v>
      </c>
      <c r="L11" s="56">
        <f>K11*'Assumed Values'!$C$8</f>
        <v>162.18705776260612</v>
      </c>
      <c r="M11" s="57">
        <f t="shared" si="0"/>
        <v>101.00194835868423</v>
      </c>
      <c r="N11" s="55">
        <f>I11*'Inputs &amp; Outputs'!B$16*'Benefit Calculations'!G11*('Benefit Calculations'!D$4-'Benefit Calculations'!D$5)</f>
        <v>91.781910383251486</v>
      </c>
      <c r="O11" s="71">
        <f t="shared" si="4"/>
        <v>2.6304803325064581E-2</v>
      </c>
      <c r="P11" s="56">
        <f>ABS(O11*'Assumed Values'!$C$7)</f>
        <v>50.110650334248028</v>
      </c>
      <c r="Q11" s="57">
        <f t="shared" si="1"/>
        <v>31.206394561321957</v>
      </c>
      <c r="T11" s="68">
        <f t="shared" si="5"/>
        <v>1.9596897150947264E-2</v>
      </c>
      <c r="U11" s="69">
        <f>T11*'Assumed Values'!$D$8</f>
        <v>0</v>
      </c>
    </row>
    <row r="12" spans="2:21">
      <c r="C12" s="38"/>
      <c r="F12" s="54">
        <f t="shared" si="2"/>
        <v>2026</v>
      </c>
      <c r="G12" s="63">
        <f t="shared" si="6"/>
        <v>11186.574329836203</v>
      </c>
      <c r="H12" s="62">
        <f>$C$10</f>
        <v>1.3735779776728796E-2</v>
      </c>
      <c r="I12" s="54">
        <f>IF(AND(F12&gt;='Inputs &amp; Outputs'!B$13,F12&lt;'Inputs &amp; Outputs'!B$13+'Inputs &amp; Outputs'!B$19),1,0)</f>
        <v>1</v>
      </c>
      <c r="J12" s="55">
        <f>I12*'Inputs &amp; Outputs'!B$16*'Benefit Calculations'!G12*('Benefit Calculations'!C$4-'Benefit Calculations'!C$5)</f>
        <v>76.407983901999543</v>
      </c>
      <c r="K12" s="71">
        <f t="shared" si="3"/>
        <v>2.1898617936956428E-2</v>
      </c>
      <c r="L12" s="56">
        <f>K12*'Assumed Values'!$C$8</f>
        <v>164.41482347066886</v>
      </c>
      <c r="M12" s="57">
        <f t="shared" si="0"/>
        <v>95.690924185382855</v>
      </c>
      <c r="N12" s="55">
        <f>I12*'Inputs &amp; Outputs'!B$16*'Benefit Calculations'!G12*('Benefit Calculations'!D$4-'Benefit Calculations'!D$5)</f>
        <v>93.042606491763308</v>
      </c>
      <c r="O12" s="71">
        <f t="shared" si="4"/>
        <v>2.6666120310607836E-2</v>
      </c>
      <c r="P12" s="56">
        <f>ABS(O12*'Assumed Values'!$C$7)</f>
        <v>50.79895919170793</v>
      </c>
      <c r="Q12" s="57">
        <f t="shared" si="1"/>
        <v>29.565456752001861</v>
      </c>
      <c r="T12" s="68">
        <f t="shared" si="5"/>
        <v>1.9866075814519882E-2</v>
      </c>
      <c r="U12" s="69">
        <f>T12*'Assumed Values'!$D$8</f>
        <v>0</v>
      </c>
    </row>
    <row r="13" spans="2:21">
      <c r="C13" s="38"/>
      <c r="F13" s="54">
        <f t="shared" si="2"/>
        <v>2027</v>
      </c>
      <c r="G13" s="63">
        <f t="shared" si="6"/>
        <v>11340.23065128684</v>
      </c>
      <c r="H13" s="62">
        <f t="shared" ref="H13:H36" si="8">$C$10</f>
        <v>1.3735779776728796E-2</v>
      </c>
      <c r="I13" s="54">
        <f>IF(AND(F13&gt;='Inputs &amp; Outputs'!B$13,F13&lt;'Inputs &amp; Outputs'!B$13+'Inputs &amp; Outputs'!B$19),1,0)</f>
        <v>1</v>
      </c>
      <c r="J13" s="55">
        <f>I13*'Inputs &amp; Outputs'!B$16*'Benefit Calculations'!G13*('Benefit Calculations'!C$4-'Benefit Calculations'!C$5)</f>
        <v>77.457507142061246</v>
      </c>
      <c r="K13" s="71">
        <f t="shared" si="3"/>
        <v>2.2199412530353183E-2</v>
      </c>
      <c r="L13" s="56">
        <f>K13*'Assumed Values'!$C$8</f>
        <v>166.67318927789171</v>
      </c>
      <c r="M13" s="57">
        <f t="shared" si="0"/>
        <v>90.65917163235973</v>
      </c>
      <c r="N13" s="55">
        <f>I13*'Inputs &amp; Outputs'!B$16*'Benefit Calculations'!G13*('Benefit Calculations'!D$4-'Benefit Calculations'!D$5)</f>
        <v>94.32061924438699</v>
      </c>
      <c r="O13" s="71">
        <f t="shared" si="4"/>
        <v>2.7032400266694095E-2</v>
      </c>
      <c r="P13" s="56">
        <f>ABS(O13*'Assumed Values'!$C$7)</f>
        <v>51.496722508052251</v>
      </c>
      <c r="Q13" s="57">
        <f t="shared" si="1"/>
        <v>28.010805004622195</v>
      </c>
      <c r="T13" s="68">
        <f t="shared" si="5"/>
        <v>2.0138951856935924E-2</v>
      </c>
      <c r="U13" s="69">
        <f>T13*'Assumed Values'!$D$8</f>
        <v>0</v>
      </c>
    </row>
    <row r="14" spans="2:21">
      <c r="C14" s="38"/>
      <c r="F14" s="54">
        <f t="shared" si="2"/>
        <v>2028</v>
      </c>
      <c r="G14" s="63">
        <f t="shared" si="6"/>
        <v>11495.997562130226</v>
      </c>
      <c r="H14" s="62">
        <f t="shared" si="8"/>
        <v>1.3735779776728796E-2</v>
      </c>
      <c r="I14" s="54">
        <f>IF(AND(F14&gt;='Inputs &amp; Outputs'!B$13,F14&lt;'Inputs &amp; Outputs'!B$13+'Inputs &amp; Outputs'!B$19),1,0)</f>
        <v>1</v>
      </c>
      <c r="J14" s="55">
        <f>I14*'Inputs &amp; Outputs'!B$16*'Benefit Calculations'!G14*('Benefit Calculations'!C$4-'Benefit Calculations'!C$5)</f>
        <v>78.521446402218999</v>
      </c>
      <c r="K14" s="71">
        <f t="shared" si="3"/>
        <v>2.2504338772042869E-2</v>
      </c>
      <c r="L14" s="56">
        <f>K14*'Assumed Values'!$C$8</f>
        <v>168.96257550049788</v>
      </c>
      <c r="M14" s="57">
        <f t="shared" si="0"/>
        <v>85.892005652936902</v>
      </c>
      <c r="N14" s="55">
        <f>I14*'Inputs &amp; Outputs'!B$16*'Benefit Calculations'!G14*('Benefit Calculations'!D$4-'Benefit Calculations'!D$5)</f>
        <v>95.616186498732574</v>
      </c>
      <c r="O14" s="71">
        <f t="shared" si="4"/>
        <v>2.7403711363593791E-2</v>
      </c>
      <c r="P14" s="56">
        <f>ABS(O14*'Assumed Values'!$C$7)</f>
        <v>52.204070147646171</v>
      </c>
      <c r="Q14" s="57">
        <f t="shared" si="1"/>
        <v>26.537902106107083</v>
      </c>
      <c r="T14" s="68">
        <f t="shared" si="5"/>
        <v>2.0415576064576942E-2</v>
      </c>
      <c r="U14" s="69">
        <f>T14*'Assumed Values'!$D$8</f>
        <v>0</v>
      </c>
    </row>
    <row r="15" spans="2:21">
      <c r="C15" s="1"/>
      <c r="F15" s="54">
        <f t="shared" si="2"/>
        <v>2029</v>
      </c>
      <c r="G15" s="63">
        <f t="shared" si="6"/>
        <v>11653.904052957458</v>
      </c>
      <c r="H15" s="62">
        <f t="shared" si="8"/>
        <v>1.3735779776728796E-2</v>
      </c>
      <c r="I15" s="54">
        <f>IF(AND(F15&gt;='Inputs &amp; Outputs'!B$13,F15&lt;'Inputs &amp; Outputs'!B$13+'Inputs &amp; Outputs'!B$19),1,0)</f>
        <v>1</v>
      </c>
      <c r="J15" s="55">
        <f>I15*'Inputs &amp; Outputs'!B$16*'Benefit Calculations'!G15*('Benefit Calculations'!C$4-'Benefit Calculations'!C$5)</f>
        <v>79.599999697750093</v>
      </c>
      <c r="K15" s="71">
        <f t="shared" si="3"/>
        <v>2.2813453413436553E-2</v>
      </c>
      <c r="L15" s="56">
        <f>K15*'Assumed Values'!$C$8</f>
        <v>171.28340822808164</v>
      </c>
      <c r="M15" s="57">
        <f t="shared" si="0"/>
        <v>81.375513389875877</v>
      </c>
      <c r="N15" s="55">
        <f>I15*'Inputs &amp; Outputs'!B$16*'Benefit Calculations'!G15*('Benefit Calculations'!D$4-'Benefit Calculations'!D$5)</f>
        <v>96.929549379569792</v>
      </c>
      <c r="O15" s="71">
        <f t="shared" si="4"/>
        <v>2.7780122707949152E-2</v>
      </c>
      <c r="P15" s="56">
        <f>ABS(O15*'Assumed Values'!$C$7)</f>
        <v>52.921133758643137</v>
      </c>
      <c r="Q15" s="57">
        <f t="shared" si="1"/>
        <v>25.142449425395284</v>
      </c>
      <c r="T15" s="68">
        <f t="shared" si="5"/>
        <v>2.0695999921415024E-2</v>
      </c>
      <c r="U15" s="69">
        <f>T15*'Assumed Values'!$D$8</f>
        <v>0</v>
      </c>
    </row>
    <row r="16" spans="2:21">
      <c r="C16" s="1"/>
      <c r="F16" s="54">
        <f t="shared" si="2"/>
        <v>2030</v>
      </c>
      <c r="G16" s="63">
        <f t="shared" si="6"/>
        <v>11813.979512568008</v>
      </c>
      <c r="H16" s="62">
        <f t="shared" si="8"/>
        <v>1.3735779776728796E-2</v>
      </c>
      <c r="I16" s="54">
        <f>IF(AND(F16&gt;='Inputs &amp; Outputs'!B$13,F16&lt;'Inputs &amp; Outputs'!B$13+'Inputs &amp; Outputs'!B$19),1,0)</f>
        <v>1</v>
      </c>
      <c r="J16" s="55">
        <f>I16*'Inputs &amp; Outputs'!B$16*'Benefit Calculations'!G16*('Benefit Calculations'!C$4-'Benefit Calculations'!C$5)</f>
        <v>80.693367763826075</v>
      </c>
      <c r="K16" s="71">
        <f t="shared" si="3"/>
        <v>2.3126813985470177E-2</v>
      </c>
      <c r="L16" s="56">
        <f>K16*'Assumed Values'!$C$8</f>
        <v>173.63611940291008</v>
      </c>
      <c r="M16" s="57">
        <f t="shared" si="0"/>
        <v>77.096513571044355</v>
      </c>
      <c r="N16" s="55">
        <f>I16*'Inputs &amp; Outputs'!B$16*'Benefit Calculations'!G16*('Benefit Calculations'!D$4-'Benefit Calculations'!D$5)</f>
        <v>98.260952323705126</v>
      </c>
      <c r="O16" s="71">
        <f t="shared" si="4"/>
        <v>2.8161704355636048E-2</v>
      </c>
      <c r="P16" s="56">
        <f>ABS(O16*'Assumed Values'!$C$7)</f>
        <v>53.648046797486671</v>
      </c>
      <c r="Q16" s="57">
        <f t="shared" si="1"/>
        <v>23.820374367990713</v>
      </c>
      <c r="T16" s="68">
        <f t="shared" si="5"/>
        <v>2.0980275618594779E-2</v>
      </c>
      <c r="U16" s="69">
        <f>T16*'Assumed Values'!$D$8</f>
        <v>0</v>
      </c>
    </row>
    <row r="17" spans="3:21">
      <c r="C17" s="1"/>
      <c r="F17" s="54">
        <f t="shared" si="2"/>
        <v>2031</v>
      </c>
      <c r="G17" s="63">
        <f t="shared" si="6"/>
        <v>11976.253733439429</v>
      </c>
      <c r="H17" s="62">
        <f t="shared" si="8"/>
        <v>1.3735779776728796E-2</v>
      </c>
      <c r="I17" s="54">
        <f>IF(AND(F17&gt;='Inputs &amp; Outputs'!B$13,F17&lt;'Inputs &amp; Outputs'!B$13+'Inputs &amp; Outputs'!B$19),1,0)</f>
        <v>1</v>
      </c>
      <c r="J17" s="55">
        <f>I17*'Inputs &amp; Outputs'!B$16*'Benefit Calculations'!G17*('Benefit Calculations'!C$4-'Benefit Calculations'!C$5)</f>
        <v>81.801754092872571</v>
      </c>
      <c r="K17" s="71">
        <f t="shared" si="3"/>
        <v>2.3444478809311969E-2</v>
      </c>
      <c r="L17" s="56">
        <f>K17*'Assumed Values'!$C$8</f>
        <v>176.02114690031428</v>
      </c>
      <c r="M17" s="57">
        <f t="shared" si="0"/>
        <v>73.042518040196086</v>
      </c>
      <c r="N17" s="55">
        <f>I17*'Inputs &amp; Outputs'!B$16*'Benefit Calculations'!G17*('Benefit Calculations'!D$4-'Benefit Calculations'!D$5)</f>
        <v>99.610643125475193</v>
      </c>
      <c r="O17" s="71">
        <f t="shared" si="4"/>
        <v>2.8548527324802411E-2</v>
      </c>
      <c r="P17" s="56">
        <f>ABS(O17*'Assumed Values'!$C$7)</f>
        <v>54.384944553748596</v>
      </c>
      <c r="Q17" s="57">
        <f t="shared" si="1"/>
        <v>22.567818490195016</v>
      </c>
      <c r="T17" s="68">
        <f t="shared" si="5"/>
        <v>2.1268456064146866E-2</v>
      </c>
      <c r="U17" s="69">
        <f>T17*'Assumed Values'!$D$8</f>
        <v>0</v>
      </c>
    </row>
    <row r="18" spans="3:21">
      <c r="F18" s="54">
        <f t="shared" si="2"/>
        <v>2032</v>
      </c>
      <c r="G18" s="63">
        <f t="shared" si="6"/>
        <v>12140.75691727218</v>
      </c>
      <c r="H18" s="62">
        <f t="shared" si="8"/>
        <v>1.3735779776728796E-2</v>
      </c>
      <c r="I18" s="54">
        <f>IF(AND(F18&gt;='Inputs &amp; Outputs'!B$13,F18&lt;'Inputs &amp; Outputs'!B$13+'Inputs &amp; Outputs'!B$19),1,0)</f>
        <v>1</v>
      </c>
      <c r="J18" s="55">
        <f>I18*'Inputs &amp; Outputs'!B$16*'Benefit Calculations'!G18*('Benefit Calculations'!C$4-'Benefit Calculations'!C$5)</f>
        <v>82.925364972442395</v>
      </c>
      <c r="K18" s="71">
        <f t="shared" si="3"/>
        <v>2.3766507007216862E-2</v>
      </c>
      <c r="L18" s="56">
        <f>K18*'Assumed Values'!$C$8</f>
        <v>178.43893461018419</v>
      </c>
      <c r="M18" s="57">
        <f t="shared" si="0"/>
        <v>69.201695310592484</v>
      </c>
      <c r="N18" s="55">
        <f>I18*'Inputs &amp; Outputs'!B$16*'Benefit Calculations'!G18*('Benefit Calculations'!D$4-'Benefit Calculations'!D$5)</f>
        <v>100.97887298286504</v>
      </c>
      <c r="O18" s="71">
        <f t="shared" si="4"/>
        <v>2.8940663609085822E-2</v>
      </c>
      <c r="P18" s="56">
        <f>ABS(O18*'Assumed Values'!$C$7)</f>
        <v>55.131964175308489</v>
      </c>
      <c r="Q18" s="57">
        <f t="shared" si="1"/>
        <v>21.381126238334133</v>
      </c>
      <c r="T18" s="68">
        <f t="shared" si="5"/>
        <v>2.1560594892835024E-2</v>
      </c>
      <c r="U18" s="69">
        <f>T18*'Assumed Values'!$D$8</f>
        <v>0</v>
      </c>
    </row>
    <row r="19" spans="3:21">
      <c r="F19" s="54">
        <f t="shared" si="2"/>
        <v>2033</v>
      </c>
      <c r="G19" s="63">
        <f t="shared" si="6"/>
        <v>12307.519680610627</v>
      </c>
      <c r="H19" s="62">
        <f t="shared" si="8"/>
        <v>1.3735779776728796E-2</v>
      </c>
      <c r="I19" s="54">
        <f>IF(AND(F19&gt;='Inputs &amp; Outputs'!B$13,F19&lt;'Inputs &amp; Outputs'!B$13+'Inputs &amp; Outputs'!B$19),1,0)</f>
        <v>1</v>
      </c>
      <c r="J19" s="55">
        <f>I19*'Inputs &amp; Outputs'!B$16*'Benefit Calculations'!G19*('Benefit Calculations'!C$4-'Benefit Calculations'!C$5)</f>
        <v>84.064409523608731</v>
      </c>
      <c r="K19" s="71">
        <f t="shared" si="3"/>
        <v>2.4092958513530077E-2</v>
      </c>
      <c r="L19" s="56">
        <f>K19*'Assumed Values'!$C$8</f>
        <v>180.88993251958382</v>
      </c>
      <c r="M19" s="57">
        <f t="shared" si="0"/>
        <v>65.562836035098201</v>
      </c>
      <c r="N19" s="55">
        <f>I19*'Inputs &amp; Outputs'!B$16*'Benefit Calculations'!G19*('Benefit Calculations'!D$4-'Benefit Calculations'!D$5)</f>
        <v>102.36589654425995</v>
      </c>
      <c r="O19" s="71">
        <f t="shared" si="4"/>
        <v>2.9338186191012614E-2</v>
      </c>
      <c r="P19" s="56">
        <f>ABS(O19*'Assumed Values'!$C$7)</f>
        <v>55.889244693879029</v>
      </c>
      <c r="Q19" s="57">
        <f t="shared" si="1"/>
        <v>20.256834280114326</v>
      </c>
      <c r="T19" s="68">
        <f t="shared" si="5"/>
        <v>2.1856746476138268E-2</v>
      </c>
      <c r="U19" s="69">
        <f>T19*'Assumed Values'!$D$8</f>
        <v>0</v>
      </c>
    </row>
    <row r="20" spans="3:21">
      <c r="F20" s="54">
        <f t="shared" si="2"/>
        <v>2034</v>
      </c>
      <c r="G20" s="63">
        <f t="shared" si="6"/>
        <v>12476.57306054125</v>
      </c>
      <c r="H20" s="62">
        <f t="shared" si="8"/>
        <v>1.3735779776728796E-2</v>
      </c>
      <c r="I20" s="54">
        <f>IF(AND(F20&gt;='Inputs &amp; Outputs'!B$13,F20&lt;'Inputs &amp; Outputs'!B$13+'Inputs &amp; Outputs'!B$19),1,0)</f>
        <v>1</v>
      </c>
      <c r="J20" s="55">
        <f>I20*'Inputs &amp; Outputs'!B$16*'Benefit Calculations'!G20*('Benefit Calculations'!C$4-'Benefit Calculations'!C$5)</f>
        <v>85.219099739885749</v>
      </c>
      <c r="K20" s="71">
        <f t="shared" si="3"/>
        <v>2.4423894085841787E-2</v>
      </c>
      <c r="L20" s="56">
        <f>K20*'Assumed Values'!$C$8</f>
        <v>183.37459679650013</v>
      </c>
      <c r="M20" s="57">
        <f t="shared" si="0"/>
        <v>62.115320291975777</v>
      </c>
      <c r="N20" s="55">
        <f>I20*'Inputs &amp; Outputs'!B$16*'Benefit Calculations'!G20*('Benefit Calculations'!D$4-'Benefit Calculations'!D$5)</f>
        <v>103.77197195583931</v>
      </c>
      <c r="O20" s="71">
        <f t="shared" si="4"/>
        <v>2.9741169055581027E-2</v>
      </c>
      <c r="P20" s="56">
        <f>ABS(O20*'Assumed Values'!$C$7)</f>
        <v>56.656927050881855</v>
      </c>
      <c r="Q20" s="57">
        <f t="shared" si="1"/>
        <v>19.19166139697165</v>
      </c>
      <c r="T20" s="68">
        <f t="shared" si="5"/>
        <v>2.2156965932370293E-2</v>
      </c>
      <c r="U20" s="69">
        <f>T20*'Assumed Values'!$D$8</f>
        <v>0</v>
      </c>
    </row>
    <row r="21" spans="3:21">
      <c r="F21" s="54">
        <f t="shared" si="2"/>
        <v>2035</v>
      </c>
      <c r="G21" s="63">
        <f t="shared" si="6"/>
        <v>12647.948520469112</v>
      </c>
      <c r="H21" s="62">
        <f t="shared" si="8"/>
        <v>1.3735779776728796E-2</v>
      </c>
      <c r="I21" s="54">
        <f>IF(AND(F21&gt;='Inputs &amp; Outputs'!B$13,F21&lt;'Inputs &amp; Outputs'!B$13+'Inputs &amp; Outputs'!B$19),1,0)</f>
        <v>1</v>
      </c>
      <c r="J21" s="55">
        <f>I21*'Inputs &amp; Outputs'!B$16*'Benefit Calculations'!G21*('Benefit Calculations'!C$4-'Benefit Calculations'!C$5)</f>
        <v>86.389650526683923</v>
      </c>
      <c r="K21" s="71">
        <f t="shared" si="3"/>
        <v>2.4759375316295063E-2</v>
      </c>
      <c r="L21" s="56">
        <f>K21*'Assumed Values'!$C$8</f>
        <v>185.89338987474332</v>
      </c>
      <c r="M21" s="57">
        <f t="shared" si="0"/>
        <v>58.849086590904051</v>
      </c>
      <c r="N21" s="55">
        <f>I21*'Inputs &amp; Outputs'!B$16*'Benefit Calculations'!G21*('Benefit Calculations'!D$4-'Benefit Calculations'!D$5)</f>
        <v>105.19736090962161</v>
      </c>
      <c r="O21" s="71">
        <f t="shared" si="4"/>
        <v>3.0149687204030957E-2</v>
      </c>
      <c r="P21" s="56">
        <f>ABS(O21*'Assumed Values'!$C$7)</f>
        <v>57.43515412367897</v>
      </c>
      <c r="Q21" s="57">
        <f t="shared" si="1"/>
        <v>18.182498907915893</v>
      </c>
      <c r="T21" s="68">
        <f t="shared" si="5"/>
        <v>2.2461309136937821E-2</v>
      </c>
      <c r="U21" s="69">
        <f>T21*'Assumed Values'!$D$8</f>
        <v>0</v>
      </c>
    </row>
    <row r="22" spans="3:21">
      <c r="F22" s="54">
        <f t="shared" si="2"/>
        <v>2036</v>
      </c>
      <c r="G22" s="63">
        <f t="shared" si="6"/>
        <v>12821.677955973679</v>
      </c>
      <c r="H22" s="62">
        <f t="shared" si="8"/>
        <v>1.3735779776728796E-2</v>
      </c>
      <c r="I22" s="54">
        <f>IF(AND(F22&gt;='Inputs &amp; Outputs'!B$13,F22&lt;'Inputs &amp; Outputs'!B$13+'Inputs &amp; Outputs'!B$19),1,0)</f>
        <v>1</v>
      </c>
      <c r="J22" s="55">
        <f>I22*'Inputs &amp; Outputs'!B$16*'Benefit Calculations'!G22*('Benefit Calculations'!C$4-'Benefit Calculations'!C$5)</f>
        <v>87.576279741307005</v>
      </c>
      <c r="K22" s="71">
        <f t="shared" si="3"/>
        <v>2.5099464643049064E-2</v>
      </c>
      <c r="L22" s="56">
        <f>K22*'Assumed Values'!$C$8</f>
        <v>188.44678054001238</v>
      </c>
      <c r="M22" s="57">
        <f t="shared" si="0"/>
        <v>55.754602508764819</v>
      </c>
      <c r="N22" s="55">
        <f>I22*'Inputs &amp; Outputs'!B$16*'Benefit Calculations'!G22*('Benefit Calculations'!D$4-'Benefit Calculations'!D$5)</f>
        <v>106.64232869216922</v>
      </c>
      <c r="O22" s="71">
        <f t="shared" si="4"/>
        <v>3.0563816667802779E-2</v>
      </c>
      <c r="P22" s="56">
        <f>ABS(O22*'Assumed Values'!$C$7)</f>
        <v>58.224070752164295</v>
      </c>
      <c r="Q22" s="57">
        <f t="shared" si="1"/>
        <v>17.226401596921153</v>
      </c>
      <c r="T22" s="68">
        <f t="shared" si="5"/>
        <v>2.276983273273982E-2</v>
      </c>
      <c r="U22" s="69">
        <f>T22*'Assumed Values'!$D$8</f>
        <v>0</v>
      </c>
    </row>
    <row r="23" spans="3:21">
      <c r="F23" s="54">
        <f t="shared" si="2"/>
        <v>2037</v>
      </c>
      <c r="G23" s="63">
        <f t="shared" si="6"/>
        <v>12997.793700745071</v>
      </c>
      <c r="H23" s="62">
        <f t="shared" si="8"/>
        <v>1.3735779776728796E-2</v>
      </c>
      <c r="I23" s="54">
        <f>IF(AND(F23&gt;='Inputs &amp; Outputs'!B$13,F23&lt;'Inputs &amp; Outputs'!B$13+'Inputs &amp; Outputs'!B$19),1,0)</f>
        <v>1</v>
      </c>
      <c r="J23" s="55">
        <f>I23*'Inputs &amp; Outputs'!B$16*'Benefit Calculations'!G23*('Benefit Calculations'!C$4-'Benefit Calculations'!C$5)</f>
        <v>88.779208233498792</v>
      </c>
      <c r="K23" s="71">
        <f t="shared" si="3"/>
        <v>2.5444225361899775E-2</v>
      </c>
      <c r="L23" s="56">
        <f>K23*'Assumed Values'!$C$8</f>
        <v>191.0352440171435</v>
      </c>
      <c r="M23" s="57">
        <f t="shared" si="0"/>
        <v>52.822836869499298</v>
      </c>
      <c r="N23" s="55">
        <f>I23*'Inputs &amp; Outputs'!B$16*'Benefit Calculations'!G23*('Benefit Calculations'!D$4-'Benefit Calculations'!D$5)</f>
        <v>108.10714423396237</v>
      </c>
      <c r="O23" s="71">
        <f t="shared" si="4"/>
        <v>3.0983634522688028E-2</v>
      </c>
      <c r="P23" s="56">
        <f>ABS(O23*'Assumed Values'!$C$7)</f>
        <v>59.023823765720692</v>
      </c>
      <c r="Q23" s="57">
        <f t="shared" si="1"/>
        <v>16.320579117384998</v>
      </c>
      <c r="T23" s="68">
        <f t="shared" si="5"/>
        <v>2.3082594140709688E-2</v>
      </c>
      <c r="U23" s="69">
        <f>T23*'Assumed Values'!$D$8</f>
        <v>0</v>
      </c>
    </row>
    <row r="24" spans="3:21">
      <c r="F24" s="54">
        <f t="shared" si="2"/>
        <v>2038</v>
      </c>
      <c r="G24" s="63">
        <f t="shared" si="6"/>
        <v>13176.328532601858</v>
      </c>
      <c r="H24" s="62">
        <f t="shared" si="8"/>
        <v>1.3735779776728796E-2</v>
      </c>
      <c r="I24" s="54">
        <f>IF(AND(F24&gt;='Inputs &amp; Outputs'!B$13,F24&lt;'Inputs &amp; Outputs'!B$13+'Inputs &amp; Outputs'!B$19),1,0)</f>
        <v>1</v>
      </c>
      <c r="J24" s="55">
        <f>I24*'Inputs &amp; Outputs'!B$16*'Benefit Calculations'!G24*('Benefit Calculations'!C$4-'Benefit Calculations'!C$5)</f>
        <v>89.998659886546477</v>
      </c>
      <c r="K24" s="71">
        <f t="shared" si="3"/>
        <v>2.5793721638060287E-2</v>
      </c>
      <c r="L24" s="56">
        <f>K24*'Assumed Values'!$C$8</f>
        <v>193.65926205855664</v>
      </c>
      <c r="M24" s="57">
        <f t="shared" si="0"/>
        <v>50.045233386841886</v>
      </c>
      <c r="N24" s="55">
        <f>I24*'Inputs &amp; Outputs'!B$16*'Benefit Calculations'!G24*('Benefit Calculations'!D$4-'Benefit Calculations'!D$5)</f>
        <v>109.59208015945114</v>
      </c>
      <c r="O24" s="71">
        <f t="shared" si="4"/>
        <v>3.1409218903174323E-2</v>
      </c>
      <c r="P24" s="56">
        <f>ABS(O24*'Assumed Values'!$C$7)</f>
        <v>59.834562010547081</v>
      </c>
      <c r="Q24" s="57">
        <f t="shared" si="1"/>
        <v>15.462387848570167</v>
      </c>
      <c r="T24" s="68">
        <f t="shared" si="5"/>
        <v>2.3399651570502084E-2</v>
      </c>
      <c r="U24" s="69">
        <f>T24*'Assumed Values'!$D$8</f>
        <v>0</v>
      </c>
    </row>
    <row r="25" spans="3:21">
      <c r="F25" s="54">
        <f t="shared" si="2"/>
        <v>2039</v>
      </c>
      <c r="G25" s="63">
        <f t="shared" si="6"/>
        <v>13357.315679591506</v>
      </c>
      <c r="H25" s="62">
        <f t="shared" si="8"/>
        <v>1.3735779776728796E-2</v>
      </c>
      <c r="I25" s="54">
        <f>IF(AND(F25&gt;='Inputs &amp; Outputs'!B$13,F25&lt;'Inputs &amp; Outputs'!B$13+'Inputs &amp; Outputs'!B$19),1,0)</f>
        <v>1</v>
      </c>
      <c r="J25" s="55">
        <f>I25*'Inputs &amp; Outputs'!B$16*'Benefit Calculations'!G25*('Benefit Calculations'!C$4-'Benefit Calculations'!C$5)</f>
        <v>91.234861658948802</v>
      </c>
      <c r="K25" s="71">
        <f t="shared" si="3"/>
        <v>2.6148018518102931E-2</v>
      </c>
      <c r="L25" s="56">
        <f>K25*'Assumed Values'!$C$8</f>
        <v>196.31932303391682</v>
      </c>
      <c r="M25" s="57">
        <f t="shared" si="0"/>
        <v>47.413685693007984</v>
      </c>
      <c r="N25" s="55">
        <f>I25*'Inputs &amp; Outputs'!B$16*'Benefit Calculations'!G25*('Benefit Calculations'!D$4-'Benefit Calculations'!D$5)</f>
        <v>111.09741283779496</v>
      </c>
      <c r="O25" s="71">
        <f t="shared" si="4"/>
        <v>3.1840649016987389E-2</v>
      </c>
      <c r="P25" s="56">
        <f>ABS(O25*'Assumed Values'!$C$7)</f>
        <v>60.656436377360976</v>
      </c>
      <c r="Q25" s="57">
        <f t="shared" si="1"/>
        <v>14.649323180262142</v>
      </c>
      <c r="T25" s="68">
        <f t="shared" si="5"/>
        <v>2.3721064031326688E-2</v>
      </c>
      <c r="U25" s="69">
        <f>T25*'Assumed Values'!$D$8</f>
        <v>0</v>
      </c>
    </row>
    <row r="26" spans="3:21">
      <c r="F26" s="54">
        <f t="shared" si="2"/>
        <v>2040</v>
      </c>
      <c r="G26" s="63">
        <f t="shared" si="6"/>
        <v>13540.788826174621</v>
      </c>
      <c r="H26" s="62">
        <f t="shared" si="8"/>
        <v>1.3735779776728796E-2</v>
      </c>
      <c r="I26" s="54">
        <f>IF(AND(F26&gt;='Inputs &amp; Outputs'!B$13,F26&lt;'Inputs &amp; Outputs'!B$13+'Inputs &amp; Outputs'!B$19),1,0)</f>
        <v>1</v>
      </c>
      <c r="J26" s="55">
        <f>I26*'Inputs &amp; Outputs'!B$16*'Benefit Calculations'!G26*('Benefit Calculations'!C$4-'Benefit Calculations'!C$5)</f>
        <v>92.488043626656435</v>
      </c>
      <c r="K26" s="71">
        <f t="shared" si="3"/>
        <v>2.6507181942065416E-2</v>
      </c>
      <c r="L26" s="56">
        <f>K26*'Assumed Values'!$C$8</f>
        <v>199.01592202102714</v>
      </c>
      <c r="M26" s="57">
        <f t="shared" si="0"/>
        <v>44.920513680458107</v>
      </c>
      <c r="N26" s="55">
        <f>I26*'Inputs &amp; Outputs'!B$16*'Benefit Calculations'!G26*('Benefit Calculations'!D$4-'Benefit Calculations'!D$5)</f>
        <v>112.62342243429924</v>
      </c>
      <c r="O26" s="71">
        <f t="shared" si="4"/>
        <v>3.2278005159832854E-2</v>
      </c>
      <c r="P26" s="56">
        <f>ABS(O26*'Assumed Values'!$C$7)</f>
        <v>61.489599829481584</v>
      </c>
      <c r="Q26" s="57">
        <f t="shared" si="1"/>
        <v>13.879012203125567</v>
      </c>
      <c r="T26" s="68">
        <f t="shared" si="5"/>
        <v>2.4046891342930674E-2</v>
      </c>
      <c r="U26" s="69">
        <f>T26*'Assumed Values'!$D$8</f>
        <v>0</v>
      </c>
    </row>
    <row r="27" spans="3:21">
      <c r="F27" s="54">
        <f t="shared" si="2"/>
        <v>2041</v>
      </c>
      <c r="G27" s="63">
        <f t="shared" si="6"/>
        <v>13726.782119494146</v>
      </c>
      <c r="H27" s="62">
        <f t="shared" si="8"/>
        <v>1.3735779776728796E-2</v>
      </c>
      <c r="I27" s="54">
        <f>IF(AND(F27&gt;='Inputs &amp; Outputs'!B$13,F27&lt;'Inputs &amp; Outputs'!B$13+'Inputs &amp; Outputs'!B$19),1,0)</f>
        <v>1</v>
      </c>
      <c r="J27" s="55">
        <f>I27*'Inputs &amp; Outputs'!B$16*'Benefit Calculations'!G27*('Benefit Calculations'!C$4-'Benefit Calculations'!C$5)</f>
        <v>93.758439025892685</v>
      </c>
      <c r="K27" s="71">
        <f t="shared" si="3"/>
        <v>2.6871278755723312E-2</v>
      </c>
      <c r="L27" s="56">
        <f>K27*'Assumed Values'!$C$8</f>
        <v>201.74956089797064</v>
      </c>
      <c r="M27" s="57">
        <f t="shared" si="0"/>
        <v>42.558441087691982</v>
      </c>
      <c r="N27" s="55">
        <f>I27*'Inputs &amp; Outputs'!B$16*'Benefit Calculations'!G27*('Benefit Calculations'!D$4-'Benefit Calculations'!D$5)</f>
        <v>114.1703929625583</v>
      </c>
      <c r="O27" s="71">
        <f t="shared" si="4"/>
        <v>3.2721368730340435E-2</v>
      </c>
      <c r="P27" s="56">
        <f>ABS(O27*'Assumed Values'!$C$7)</f>
        <v>62.33420743129853</v>
      </c>
      <c r="Q27" s="57">
        <f t="shared" si="1"/>
        <v>13.149206783426385</v>
      </c>
      <c r="T27" s="68">
        <f t="shared" si="5"/>
        <v>2.4377194146732097E-2</v>
      </c>
      <c r="U27" s="69">
        <f>T27*'Assumed Values'!$D$8</f>
        <v>0</v>
      </c>
    </row>
    <row r="28" spans="3:21">
      <c r="F28" s="54">
        <f t="shared" si="2"/>
        <v>2042</v>
      </c>
      <c r="G28" s="63">
        <f t="shared" si="6"/>
        <v>13915.330175730656</v>
      </c>
      <c r="H28" s="62">
        <f t="shared" si="8"/>
        <v>1.3735779776728796E-2</v>
      </c>
      <c r="I28" s="54">
        <f>IF(AND(F28&gt;='Inputs &amp; Outputs'!B$13,F28&lt;'Inputs &amp; Outputs'!B$13+'Inputs &amp; Outputs'!B$19),1,0)</f>
        <v>1</v>
      </c>
      <c r="J28" s="55">
        <f>I28*'Inputs &amp; Outputs'!B$16*'Benefit Calculations'!G28*('Benefit Calculations'!C$4-'Benefit Calculations'!C$5)</f>
        <v>95.046284296562192</v>
      </c>
      <c r="K28" s="71">
        <f t="shared" si="3"/>
        <v>2.7240376723031017E-2</v>
      </c>
      <c r="L28" s="56">
        <f>K28*'Assumed Values'!$C$8</f>
        <v>204.52074843651687</v>
      </c>
      <c r="M28" s="57">
        <f t="shared" si="0"/>
        <v>40.320574263657377</v>
      </c>
      <c r="N28" s="55">
        <f>I28*'Inputs &amp; Outputs'!B$16*'Benefit Calculations'!G28*('Benefit Calculations'!D$4-'Benefit Calculations'!D$5)</f>
        <v>115.73861233731458</v>
      </c>
      <c r="O28" s="71">
        <f t="shared" si="4"/>
        <v>3.3170822245213533E-2</v>
      </c>
      <c r="P28" s="56">
        <f>ABS(O28*'Assumed Values'!$C$7)</f>
        <v>63.190416377131783</v>
      </c>
      <c r="Q28" s="57">
        <f t="shared" si="1"/>
        <v>12.457777001908596</v>
      </c>
      <c r="T28" s="68">
        <f t="shared" si="5"/>
        <v>2.471203391710617E-2</v>
      </c>
      <c r="U28" s="69">
        <f>T28*'Assumed Values'!$D$8</f>
        <v>0</v>
      </c>
    </row>
    <row r="29" spans="3:21">
      <c r="F29" s="54">
        <f t="shared" si="2"/>
        <v>2043</v>
      </c>
      <c r="G29" s="63">
        <f t="shared" si="6"/>
        <v>14106.468086544961</v>
      </c>
      <c r="H29" s="62">
        <f t="shared" si="8"/>
        <v>1.3735779776728796E-2</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14300.231425609196</v>
      </c>
      <c r="H30" s="62">
        <f t="shared" si="8"/>
        <v>1.3735779776728796E-2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15520</v>
      </c>
      <c r="H31" s="62">
        <f t="shared" si="8"/>
        <v>1.3735779776728796E-2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15733.179302134831</v>
      </c>
      <c r="H32" s="62">
        <f t="shared" si="8"/>
        <v>1.3735779776728796E-2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15949.286788216743</v>
      </c>
      <c r="H33" s="62">
        <f t="shared" si="8"/>
        <v>1.3735779776728796E-2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16168.362679135578</v>
      </c>
      <c r="H34" s="62">
        <f t="shared" si="8"/>
        <v>1.3735779776728796E-2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16390.447748246464</v>
      </c>
      <c r="H35" s="62">
        <f t="shared" si="8"/>
        <v>1.3735779776728796E-2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16615.583328958357</v>
      </c>
      <c r="H36" s="62">
        <f t="shared" si="8"/>
        <v>1.3735779776728796E-2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1673.5008323073553</v>
      </c>
      <c r="K37" s="55">
        <f t="shared" ref="K37:Q37" si="9">SUM(K4:K36)</f>
        <v>0.47962730427334738</v>
      </c>
      <c r="L37" s="58">
        <f t="shared" si="9"/>
        <v>3601.0418004842918</v>
      </c>
      <c r="M37" s="59">
        <f t="shared" si="9"/>
        <v>1411.1608981369441</v>
      </c>
      <c r="N37" s="55">
        <f t="shared" si="9"/>
        <v>2037.8352032389757</v>
      </c>
      <c r="O37" s="55">
        <f t="shared" si="9"/>
        <v>0.58404596293820621</v>
      </c>
      <c r="P37" s="55">
        <f t="shared" si="9"/>
        <v>1112.6075593972828</v>
      </c>
      <c r="Q37" s="59">
        <f t="shared" si="9"/>
        <v>436.00390380968923</v>
      </c>
      <c r="T37" s="68">
        <f>SUM(T4:T36)</f>
        <v>0.43511021639991243</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55</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55</v>
      </c>
      <c r="E21" s="92" t="s">
        <v>115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55</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55</v>
      </c>
      <c r="E21" s="92" t="s">
        <v>115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156A1-4AEB-466B-8EFC-C3526ECC686A}"/>
</file>

<file path=customXml/itemProps2.xml><?xml version="1.0" encoding="utf-8"?>
<ds:datastoreItem xmlns:ds="http://schemas.openxmlformats.org/officeDocument/2006/customXml" ds:itemID="{A77F33E8-4E86-4EAF-8D5E-5E5A06A7EFD0}"/>
</file>

<file path=customXml/itemProps3.xml><?xml version="1.0" encoding="utf-8"?>
<ds:datastoreItem xmlns:ds="http://schemas.openxmlformats.org/officeDocument/2006/customXml" ds:itemID="{EDB4244D-AB4B-4825-B410-9E7313F642B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2018-10-31T03:30:53Z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