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6_FM565/"/>
    </mc:Choice>
  </mc:AlternateContent>
  <xr:revisionPtr revIDLastSave="25" documentId="8_{CD4AFC08-FDDF-4EB6-B109-B363B668152A}" xr6:coauthVersionLast="40" xr6:coauthVersionMax="40" xr10:uidLastSave="{13699E31-71FC-455F-9234-05A7E245AF8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<sst xmlns="http://schemas.openxmlformats.org/spreadsheetml/2006/main" count="292" uniqueCount="238">
  <si>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</si>
  <si>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</si>
  <si>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</si>
  <si>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</si>
  <si>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</si>
  <si>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</si>
  <si>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</si>
  <si>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</si>
  <si>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</si>
  <si>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</si>
  <si>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</si>
  <si>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</si>
  <si>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</si>
  <si>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</si>
  <si>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</si>
  <si>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</si>
  <si>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</si>
  <si>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</si>
  <si>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</si>
  <si>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</si>
  <si>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</si>
  <si>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</si>
  <si>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</si>
  <si>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</si>
  <si>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</si>
  <si>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</si>
  <si>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</si>
  <si>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</si>
  <si>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</si>
  <si>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</si>
  <si>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</si>
  <si>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</si>
  <si>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</si>
  <si>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</si>
  <si>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</si>
  <si>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</si>
  <si>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</si>
  <si>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</si>
  <si>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</si>
  <si>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</si>
  <si>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</si>
  <si>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</si>
  <si>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</si>
  <si>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</si>
  <si>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</si>
  <si>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</si>
  <si>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</si>
  <si>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</si>
  <si>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</si>
  <si>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565 Intersection Improvements</t>
  </si>
  <si>
    <t>Data entered by the sponsors</t>
  </si>
  <si>
    <t>County</t>
  </si>
  <si>
    <t>Chambers</t>
  </si>
  <si>
    <t>HGAC regional travel demand model data provided by HGAC</t>
  </si>
  <si>
    <t>Facility Type</t>
  </si>
  <si>
    <t>Non Freeway</t>
  </si>
  <si>
    <t>Data populated/calculated based on inputs</t>
  </si>
  <si>
    <t>Street Name:</t>
  </si>
  <si>
    <t>FM565</t>
  </si>
  <si>
    <t>Benefits calculated by the template</t>
  </si>
  <si>
    <t>Limits (From)</t>
  </si>
  <si>
    <t>FM 1409</t>
  </si>
  <si>
    <t>Limits (To)</t>
  </si>
  <si>
    <t>Plantation Drive</t>
  </si>
  <si>
    <t>Length (in Miles)</t>
  </si>
  <si>
    <t>Application ID Number:</t>
  </si>
  <si>
    <t>Sponsor ID Number (CSJ, etc.):</t>
  </si>
  <si>
    <t>1024-01</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</si>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</sst>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1" zoomScale="115" zoomScaleNormal="115" workbookViewId="0" xr3:uid="{51F8DEE0-4D01-5F28-A812-FC0BD7CAC4A5}">
      <selection activeCell="B13" sqref="B1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63" t="s">
        <v>61</v>
      </c>
    </row>
    <row r="11" spans="1:7">
      <c r="A11" s="7" t="s">
        <v>62</v>
      </c>
      <c r="B11" s="63" t="s">
        <v>63</v>
      </c>
    </row>
    <row r="12" spans="1:7">
      <c r="A12" s="7" t="s">
        <v>64</v>
      </c>
      <c r="B12" s="116">
        <v>5.84</v>
      </c>
    </row>
    <row r="13" spans="1:7">
      <c r="A13" s="7" t="s">
        <v>65</v>
      </c>
      <c r="B13" s="116">
        <v>261</v>
      </c>
      <c r="F13" s="99"/>
    </row>
    <row r="14" spans="1:7">
      <c r="A14" s="7" t="s">
        <v>66</v>
      </c>
      <c r="B14" s="116" t="s">
        <v>67</v>
      </c>
    </row>
    <row r="17" spans="1:7">
      <c r="A17" s="98" t="s">
        <v>68</v>
      </c>
      <c r="E17" s="130" t="s">
        <v>69</v>
      </c>
      <c r="F17" s="131"/>
    </row>
    <row r="18" spans="1:7">
      <c r="A18" s="7" t="s">
        <v>70</v>
      </c>
      <c r="B18" s="117">
        <v>2023</v>
      </c>
      <c r="E18" s="87" t="s">
        <v>71</v>
      </c>
      <c r="F18" s="123">
        <f>$B$12/$B$32</f>
        <v>0.10814814814814815</v>
      </c>
    </row>
    <row r="19" spans="1:7" ht="30">
      <c r="A19" s="7" t="s">
        <v>72</v>
      </c>
      <c r="B19" s="118" t="s">
        <v>73</v>
      </c>
      <c r="E19" s="89" t="s">
        <v>74</v>
      </c>
      <c r="F19" s="124">
        <f>$B$12/$B$33</f>
        <v>0.14243902439024389</v>
      </c>
    </row>
    <row r="20" spans="1:7" ht="30">
      <c r="A20" s="113" t="s">
        <v>75</v>
      </c>
      <c r="B20" s="114">
        <f>VLOOKUP(B19,'Delay Reduction Factors'!B4:C80,2, FALSE)</f>
        <v>0.4</v>
      </c>
      <c r="E20" s="89" t="s">
        <v>76</v>
      </c>
      <c r="F20" s="123">
        <f>$F$19-$F$18</f>
        <v>3.4290876242095744E-2</v>
      </c>
    </row>
    <row r="21" spans="1:7">
      <c r="A21" s="7" t="s">
        <v>77</v>
      </c>
      <c r="B21" s="63">
        <v>20</v>
      </c>
      <c r="D21" s="100"/>
      <c r="E21" s="87" t="s">
        <v>78</v>
      </c>
      <c r="F21" s="123">
        <f>$F$20*$B$20</f>
        <v>1.3716350496838298E-2</v>
      </c>
      <c r="G21" s="101"/>
    </row>
    <row r="22" spans="1:7">
      <c r="D22" s="100"/>
      <c r="E22" s="87" t="s">
        <v>79</v>
      </c>
      <c r="F22" s="123">
        <f>$F$20-$F$21</f>
        <v>2.0574525745257446E-2</v>
      </c>
      <c r="G22" s="101"/>
    </row>
    <row r="23" spans="1:7">
      <c r="E23" s="87" t="s">
        <v>80</v>
      </c>
      <c r="F23" s="123">
        <f>$F$18+$F$22</f>
        <v>0.12872267389340558</v>
      </c>
    </row>
    <row r="24" spans="1:7">
      <c r="A24" s="98" t="s">
        <v>81</v>
      </c>
      <c r="B24" s="102"/>
      <c r="D24" s="100"/>
    </row>
    <row r="25" spans="1:7">
      <c r="A25" s="7" t="s">
        <v>82</v>
      </c>
      <c r="B25" s="119">
        <v>9553</v>
      </c>
      <c r="D25" s="100"/>
    </row>
    <row r="28" spans="1:7">
      <c r="A28" s="87" t="s">
        <v>83</v>
      </c>
      <c r="B28" s="112">
        <f>IF(FacilityType='Delay Reduction Factors'!N5,'Inputs &amp; Outputs'!B25*45%, B25*43%)</f>
        <v>4107.79</v>
      </c>
      <c r="D28" s="100"/>
      <c r="E28" s="103" t="s">
        <v>84</v>
      </c>
      <c r="F28" s="104" t="s">
        <v>2</v>
      </c>
      <c r="G28" s="105" t="s">
        <v>85</v>
      </c>
    </row>
    <row r="29" spans="1:7">
      <c r="A29" s="87" t="s">
        <v>86</v>
      </c>
      <c r="B29" s="95">
        <f>VLOOKUP(Year_Open_to_Traffic?,Calculations!H4:I36,2)</f>
        <v>4080.0453279863023</v>
      </c>
      <c r="D29" s="100"/>
      <c r="E29" s="89" t="s">
        <v>87</v>
      </c>
      <c r="F29" s="83">
        <f>$B$29*$F$23</f>
        <v>525.19434422469385</v>
      </c>
      <c r="G29" s="84">
        <f>$B$29*$F$19</f>
        <v>581.15767598634159</v>
      </c>
    </row>
    <row r="30" spans="1:7">
      <c r="B30" s="82"/>
      <c r="D30" s="100"/>
    </row>
    <row r="32" spans="1:7">
      <c r="A32" s="106" t="s">
        <v>88</v>
      </c>
      <c r="B32" s="120">
        <v>54</v>
      </c>
      <c r="D32" s="100"/>
    </row>
    <row r="33" spans="1:7" ht="30">
      <c r="A33" s="107" t="s">
        <v>89</v>
      </c>
      <c r="B33" s="121">
        <v>41</v>
      </c>
      <c r="D33" s="100"/>
      <c r="E33" s="100"/>
      <c r="F33" s="108"/>
    </row>
    <row r="34" spans="1:7">
      <c r="A34" s="109"/>
      <c r="B34" s="122"/>
      <c r="F34" s="108"/>
      <c r="G34" s="108"/>
    </row>
    <row r="35" spans="1:7">
      <c r="A35" s="87" t="s">
        <v>90</v>
      </c>
      <c r="B35" s="126">
        <f>$B$28</f>
        <v>4107.79</v>
      </c>
    </row>
    <row r="36" spans="1:7">
      <c r="A36" s="106" t="s">
        <v>91</v>
      </c>
      <c r="B36" s="120">
        <v>10546</v>
      </c>
    </row>
    <row r="37" spans="1:7">
      <c r="A37" s="106" t="s">
        <v>92</v>
      </c>
      <c r="B37" s="120">
        <v>4069</v>
      </c>
    </row>
    <row r="38" spans="1:7">
      <c r="A38" s="106" t="s">
        <v>93</v>
      </c>
      <c r="B38" s="120">
        <v>10546</v>
      </c>
    </row>
    <row r="39" spans="1:7">
      <c r="A39" s="106" t="s">
        <v>94</v>
      </c>
      <c r="B39" s="120">
        <v>6063</v>
      </c>
    </row>
    <row r="40" spans="1:7">
      <c r="A40" s="106" t="s">
        <v>95</v>
      </c>
      <c r="B40" s="120">
        <v>10546</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4392.8872554861209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136550.52949842039</v>
      </c>
      <c r="F4" s="21">
        <f>'Inputs &amp; Outputs'!G29*Annual_Days_of_Travel</f>
        <v>151100.9957564488</v>
      </c>
      <c r="H4" s="49">
        <v>2018</v>
      </c>
      <c r="I4" s="50">
        <f>'Inputs &amp; Outputs'!B28</f>
        <v>4107.79</v>
      </c>
      <c r="J4" s="50">
        <f>IF(H4=Year_Open_to_Traffic?,$F$4,0)</f>
        <v>0</v>
      </c>
      <c r="K4" s="50">
        <f>IF(H4=Year_Open_to_Traffic?,Calculations!$E$4,0)</f>
        <v>0</v>
      </c>
      <c r="L4" s="50">
        <f>IF(AND(H4&gt;=Year_Open_to_Traffic?, Calculations!H4&lt;Year_Open_to_Traffic?+'Inputs &amp; Outputs'!B$21), 1, 0)</f>
        <v>0</v>
      </c>
      <c r="M4" s="65" t="s">
        <v>111</v>
      </c>
      <c r="N4" s="66">
        <f>MIN(E8,1)</f>
        <v>0.38951166318983499</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-1.3544964082348177E-3</v>
      </c>
      <c r="F5" s="26"/>
      <c r="H5" s="14">
        <f t="shared" ref="H5:H36" si="3">H4+1</f>
        <v>2019</v>
      </c>
      <c r="I5" s="79">
        <f>(I4*M5)+I4</f>
        <v>4102.226013199217</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-1.3544964082348177E-3</v>
      </c>
      <c r="N5" s="71">
        <f t="shared" ref="N5:N11" si="6">N4*(1+IFERROR(_2018_2025_V_C_Growth,_2018_2045_V_C_Growth))</f>
        <v>0.38898407104107879</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2.0140510196577699E-2</v>
      </c>
      <c r="F6" s="26"/>
      <c r="H6" s="49">
        <f t="shared" si="3"/>
        <v>2020</v>
      </c>
      <c r="I6" s="79">
        <f t="shared" ref="I6:I36" si="10">(I5*M6)+I5</f>
        <v>4096.669562798571</v>
      </c>
      <c r="J6" s="50">
        <f t="shared" si="4"/>
        <v>0</v>
      </c>
      <c r="K6" s="50">
        <f>IF(H6=Year_Open_to_Traffic?,Calculations!$E$4,K5+(K5*M6))</f>
        <v>0</v>
      </c>
      <c r="L6" s="50">
        <f>IF(AND(H6&gt;=Year_Open_to_Traffic?, Calculations!H6&lt;Year_Open_to_Traffic?+'Inputs &amp; Outputs'!B$21), 1, 0)</f>
        <v>0</v>
      </c>
      <c r="M6" s="65">
        <f t="shared" si="5"/>
        <v>-1.3544964082348177E-3</v>
      </c>
      <c r="N6" s="71">
        <f t="shared" si="6"/>
        <v>0.3884571935139931</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1.4523701568262881E-2</v>
      </c>
      <c r="F7" s="26"/>
      <c r="H7" s="14">
        <f t="shared" si="3"/>
        <v>2021</v>
      </c>
      <c r="I7" s="79">
        <f t="shared" si="10"/>
        <v>4091.1206385900355</v>
      </c>
      <c r="J7" s="50">
        <f t="shared" si="4"/>
        <v>0</v>
      </c>
      <c r="K7" s="50">
        <f>IF(H7=Year_Open_to_Traffic?,Calculations!$E$4,K6+(K6*M7))</f>
        <v>0</v>
      </c>
      <c r="L7" s="50">
        <f>IF(AND(H7&gt;=Year_Open_to_Traffic?, Calculations!H7&lt;Year_Open_to_Traffic?+'Inputs &amp; Outputs'!B$21), 1, 0)</f>
        <v>0</v>
      </c>
      <c r="M7" s="65">
        <f t="shared" si="5"/>
        <v>-1.3544964082348177E-3</v>
      </c>
      <c r="N7" s="71">
        <f t="shared" si="6"/>
        <v>0.38793102964062542</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0.38951166318983499</v>
      </c>
      <c r="F8" s="26"/>
      <c r="H8" s="49">
        <f t="shared" si="3"/>
        <v>2022</v>
      </c>
      <c r="I8" s="79">
        <f t="shared" si="10"/>
        <v>4085.5792303794101</v>
      </c>
      <c r="J8" s="50">
        <f t="shared" si="4"/>
        <v>0</v>
      </c>
      <c r="K8" s="50">
        <f>IF(H8=Year_Open_to_Traffic?,Calculations!$E$4,K7+(K7*M8))</f>
        <v>0</v>
      </c>
      <c r="L8" s="50">
        <f>IF(AND(H8&gt;=Year_Open_to_Traffic?, Calculations!H8&lt;Year_Open_to_Traffic?+'Inputs &amp; Outputs'!B$21), 1, 0)</f>
        <v>0</v>
      </c>
      <c r="M8" s="65">
        <f t="shared" si="5"/>
        <v>-1.3544964082348177E-3</v>
      </c>
      <c r="N8" s="71">
        <f t="shared" si="6"/>
        <v>0.38740557845433438</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0.38583349137113598</v>
      </c>
      <c r="F9" s="26"/>
      <c r="H9" s="14">
        <f t="shared" si="3"/>
        <v>2023</v>
      </c>
      <c r="I9" s="79">
        <f t="shared" si="10"/>
        <v>4080.0453279863023</v>
      </c>
      <c r="J9" s="50">
        <f t="shared" si="4"/>
        <v>151100.9957564488</v>
      </c>
      <c r="K9" s="50">
        <f>IF(H9=Year_Open_to_Traffic?,Calculations!$E$4,K8+(K8*M9))</f>
        <v>136550.52949842039</v>
      </c>
      <c r="L9" s="50">
        <f>IF(AND(H9&gt;=Year_Open_to_Traffic?, Calculations!H9&lt;Year_Open_to_Traffic?+'Inputs &amp; Outputs'!B$21), 1, 0)</f>
        <v>1</v>
      </c>
      <c r="M9" s="65">
        <f t="shared" si="5"/>
        <v>-1.3544964082348177E-3</v>
      </c>
      <c r="N9" s="71">
        <f t="shared" si="6"/>
        <v>0.38688083898978787</v>
      </c>
      <c r="O9" s="72">
        <f t="shared" si="7"/>
        <v>1</v>
      </c>
      <c r="P9" s="68">
        <f t="shared" si="8"/>
        <v>14550.466258028406</v>
      </c>
      <c r="Q9" s="69">
        <f t="shared" si="0"/>
        <v>1</v>
      </c>
      <c r="R9" s="70">
        <f t="shared" si="1"/>
        <v>19.863344048684343</v>
      </c>
      <c r="S9" s="77">
        <f t="shared" si="2"/>
        <v>401.73907511926728</v>
      </c>
      <c r="T9" s="64">
        <f t="shared" si="9"/>
        <v>286.43440831858885</v>
      </c>
      <c r="W9" s="58"/>
    </row>
    <row r="10" spans="1:24">
      <c r="D10" s="17" t="s">
        <v>120</v>
      </c>
      <c r="E10" s="22">
        <f>_2045_PeakVolume/_2045_Capacity</f>
        <v>0.57490991845249384</v>
      </c>
      <c r="F10" s="26"/>
      <c r="H10" s="49">
        <f t="shared" si="3"/>
        <v>2024</v>
      </c>
      <c r="I10" s="79">
        <f t="shared" si="10"/>
        <v>4074.5189212441096</v>
      </c>
      <c r="J10" s="50">
        <f t="shared" si="4"/>
        <v>150896.330000416</v>
      </c>
      <c r="K10" s="50">
        <f>IF(H10=Year_Open_to_Traffic?,Calculations!$E$4,K9+(K9*M10))</f>
        <v>136365.57229667221</v>
      </c>
      <c r="L10" s="50">
        <f>IF(AND(H10&gt;=Year_Open_to_Traffic?, Calculations!H10&lt;Year_Open_to_Traffic?+'Inputs &amp; Outputs'!B$21), 1, 0)</f>
        <v>1</v>
      </c>
      <c r="M10" s="65">
        <f t="shared" si="5"/>
        <v>-1.3544964082348177E-3</v>
      </c>
      <c r="N10" s="71">
        <f t="shared" si="6"/>
        <v>0.38635681028296132</v>
      </c>
      <c r="O10" s="72">
        <f t="shared" si="7"/>
        <v>1</v>
      </c>
      <c r="P10" s="68">
        <f>(J10-K10)*L10</f>
        <v>14530.757703743788</v>
      </c>
      <c r="Q10" s="69">
        <f t="shared" si="0"/>
        <v>1</v>
      </c>
      <c r="R10" s="70">
        <f t="shared" si="1"/>
        <v>20.320200961804083</v>
      </c>
      <c r="S10" s="77">
        <f t="shared" si="2"/>
        <v>410.4224041676257</v>
      </c>
      <c r="T10" s="64">
        <f t="shared" si="9"/>
        <v>273.48177749717519</v>
      </c>
      <c r="W10" s="58"/>
    </row>
    <row r="11" spans="1:24" ht="30" customHeight="1">
      <c r="A11" s="132" t="s">
        <v>121</v>
      </c>
      <c r="B11" s="133"/>
      <c r="D11" s="17" t="s">
        <v>122</v>
      </c>
      <c r="E11" s="39">
        <f>(E9/E8)^(1/(2025-2018))-1</f>
        <v>-1.3544964082348177E-3</v>
      </c>
      <c r="F11" s="26"/>
      <c r="H11" s="14">
        <f t="shared" si="3"/>
        <v>2025</v>
      </c>
      <c r="I11" s="79">
        <f t="shared" si="10"/>
        <v>4068.9999999999995</v>
      </c>
      <c r="J11" s="50">
        <f t="shared" si="4"/>
        <v>150691.94146341461</v>
      </c>
      <c r="K11" s="50">
        <f>IF(H11=Year_Open_to_Traffic?,Calculations!$E$4,K10+(K10*M11))</f>
        <v>136180.86561878948</v>
      </c>
      <c r="L11" s="50">
        <f>IF(AND(H11&gt;=Year_Open_to_Traffic?, Calculations!H11&lt;Year_Open_to_Traffic?+'Inputs &amp; Outputs'!B$21), 1, 0)</f>
        <v>1</v>
      </c>
      <c r="M11" s="65">
        <f t="shared" si="5"/>
        <v>-1.3544964082348177E-3</v>
      </c>
      <c r="N11" s="71">
        <f t="shared" si="6"/>
        <v>0.38583349137113598</v>
      </c>
      <c r="O11" s="72">
        <f t="shared" si="7"/>
        <v>1</v>
      </c>
      <c r="P11" s="68">
        <f t="shared" si="8"/>
        <v>14511.075844625128</v>
      </c>
      <c r="Q11" s="69">
        <f t="shared" si="0"/>
        <v>1</v>
      </c>
      <c r="R11" s="70">
        <f t="shared" si="1"/>
        <v>20.787565583925574</v>
      </c>
      <c r="S11" s="77">
        <f t="shared" si="2"/>
        <v>419.2934177307136</v>
      </c>
      <c r="T11" s="64">
        <f t="shared" si="9"/>
        <v>261.11486766570994</v>
      </c>
      <c r="W11" s="58"/>
    </row>
    <row r="12" spans="1:24">
      <c r="A12" s="17" t="s">
        <v>123</v>
      </c>
      <c r="B12" s="18">
        <v>0.45</v>
      </c>
      <c r="D12" s="17" t="s">
        <v>124</v>
      </c>
      <c r="E12" s="39">
        <f>(E10/E9)^(1/(2045-2025))-1</f>
        <v>2.0140510196577699E-2</v>
      </c>
      <c r="F12" s="26"/>
      <c r="H12" s="49">
        <v>2026</v>
      </c>
      <c r="I12" s="79">
        <f t="shared" si="10"/>
        <v>4150.9517359898746</v>
      </c>
      <c r="J12" s="50">
        <f t="shared" si="4"/>
        <v>153726.95404700059</v>
      </c>
      <c r="K12" s="50">
        <f>IF(H12=Year_Open_to_Traffic?,Calculations!$E$4,K11+(K11*M12))</f>
        <v>138923.61773136348</v>
      </c>
      <c r="L12" s="50">
        <f>IF(AND(H12&gt;=Year_Open_to_Traffic?, Calculations!H12&lt;Year_Open_to_Traffic?+'Inputs &amp; Outputs'!B$21), 1, 0)</f>
        <v>1</v>
      </c>
      <c r="M12" s="65">
        <f t="shared" ref="M12:M36" si="11">IFERROR(_2025_2045_Demand_Growth,_2018_2045_Demand_Growth)</f>
        <v>2.0140510196577699E-2</v>
      </c>
      <c r="N12" s="71">
        <f t="shared" ref="N12:N36" si="12">N11*(1+IFERROR(_2025_2045_V_C_Growth,_2018_2045_V_C_Growth))</f>
        <v>0.39360437473827753</v>
      </c>
      <c r="O12" s="72">
        <f t="shared" si="7"/>
        <v>1</v>
      </c>
      <c r="P12" s="68">
        <f t="shared" si="8"/>
        <v>14803.336315637105</v>
      </c>
      <c r="Q12" s="69">
        <f t="shared" si="0"/>
        <v>1</v>
      </c>
      <c r="R12" s="70">
        <f t="shared" si="1"/>
        <v>21.265679592355859</v>
      </c>
      <c r="S12" s="77">
        <f t="shared" si="2"/>
        <v>437.57617971085182</v>
      </c>
      <c r="T12" s="64">
        <f t="shared" si="9"/>
        <v>254.6733205325032</v>
      </c>
      <c r="W12" s="58"/>
    </row>
    <row r="13" spans="1:24">
      <c r="A13" s="17" t="s">
        <v>55</v>
      </c>
      <c r="B13" s="18">
        <v>0.43</v>
      </c>
      <c r="D13" s="17" t="s">
        <v>125</v>
      </c>
      <c r="E13" s="39">
        <f>(E10/E8)^(1/(2045-2018))-1</f>
        <v>1.4523701568262881E-2</v>
      </c>
      <c r="F13" s="26"/>
      <c r="H13" s="14">
        <f t="shared" si="3"/>
        <v>2027</v>
      </c>
      <c r="I13" s="79">
        <f t="shared" si="10"/>
        <v>4234.5540217540802</v>
      </c>
      <c r="J13" s="50">
        <f t="shared" si="4"/>
        <v>156823.09333247304</v>
      </c>
      <c r="K13" s="50">
        <f>IF(H13=Year_Open_to_Traffic?,Calculations!$E$4,K12+(K12*M13))</f>
        <v>141721.61027082748</v>
      </c>
      <c r="L13" s="50">
        <f>IF(AND(H13&gt;=Year_Open_to_Traffic?, Calculations!H13&lt;Year_Open_to_Traffic?+'Inputs &amp; Outputs'!B$21), 1, 0)</f>
        <v>1</v>
      </c>
      <c r="M13" s="65">
        <f t="shared" si="11"/>
        <v>2.0140510196577699E-2</v>
      </c>
      <c r="N13" s="71">
        <f t="shared" si="12"/>
        <v>0.40153176766111137</v>
      </c>
      <c r="O13" s="72">
        <f t="shared" si="7"/>
        <v>1</v>
      </c>
      <c r="P13" s="68">
        <f t="shared" si="8"/>
        <v>15101.483061645558</v>
      </c>
      <c r="Q13" s="69">
        <f t="shared" si="0"/>
        <v>1</v>
      </c>
      <c r="R13" s="70">
        <f t="shared" si="1"/>
        <v>21.754790222980041</v>
      </c>
      <c r="S13" s="77">
        <f t="shared" si="2"/>
        <v>456.65613852615979</v>
      </c>
      <c r="T13" s="64">
        <f t="shared" si="9"/>
        <v>248.39068250255923</v>
      </c>
      <c r="W13" s="58"/>
    </row>
    <row r="14" spans="1:24">
      <c r="H14" s="49">
        <f>H13+1</f>
        <v>2028</v>
      </c>
      <c r="I14" s="79">
        <f t="shared" si="10"/>
        <v>4319.8401002071769</v>
      </c>
      <c r="J14" s="50">
        <f t="shared" si="4"/>
        <v>159981.59044279458</v>
      </c>
      <c r="K14" s="50">
        <f>IF(H14=Year_Open_to_Traffic?,Calculations!$E$4,K13+(K13*M14))</f>
        <v>144575.95580756251</v>
      </c>
      <c r="L14" s="50">
        <f>IF(AND(H14&gt;=Year_Open_to_Traffic?, Calculations!H14&lt;Year_Open_to_Traffic?+'Inputs &amp; Outputs'!B$21), 1, 0)</f>
        <v>1</v>
      </c>
      <c r="M14" s="65">
        <f t="shared" si="11"/>
        <v>2.0140510196577699E-2</v>
      </c>
      <c r="N14" s="71">
        <f t="shared" si="12"/>
        <v>0.40961882232193986</v>
      </c>
      <c r="O14" s="72">
        <f t="shared" si="7"/>
        <v>1</v>
      </c>
      <c r="P14" s="68">
        <f t="shared" si="8"/>
        <v>15405.634635232069</v>
      </c>
      <c r="Q14" s="69">
        <f t="shared" si="0"/>
        <v>1</v>
      </c>
      <c r="R14" s="70">
        <f t="shared" si="1"/>
        <v>22.255150398108579</v>
      </c>
      <c r="S14" s="77">
        <f t="shared" si="2"/>
        <v>476.56805494170635</v>
      </c>
      <c r="T14" s="64">
        <f t="shared" si="9"/>
        <v>242.26303338363573</v>
      </c>
      <c r="W14" s="58"/>
    </row>
    <row r="15" spans="1:24">
      <c r="H15" s="14">
        <f t="shared" si="3"/>
        <v>2029</v>
      </c>
      <c r="I15" s="79">
        <f t="shared" si="10"/>
        <v>4406.8438837929843</v>
      </c>
      <c r="J15" s="50">
        <f t="shared" si="4"/>
        <v>163203.7012963724</v>
      </c>
      <c r="K15" s="50">
        <f>IF(H15=Year_Open_to_Traffic?,Calculations!$E$4,K14+(K14*M15))</f>
        <v>147487.7893196847</v>
      </c>
      <c r="L15" s="50">
        <f>IF(AND(H15&gt;=Year_Open_to_Traffic?, Calculations!H15&lt;Year_Open_to_Traffic?+'Inputs &amp; Outputs'!B$21), 1, 0)</f>
        <v>1</v>
      </c>
      <c r="M15" s="65">
        <f t="shared" si="11"/>
        <v>2.0140510196577699E-2</v>
      </c>
      <c r="N15" s="71">
        <f t="shared" si="12"/>
        <v>0.41786875438962506</v>
      </c>
      <c r="O15" s="72">
        <f t="shared" si="7"/>
        <v>1</v>
      </c>
      <c r="P15" s="68">
        <f t="shared" si="8"/>
        <v>15715.911976687697</v>
      </c>
      <c r="Q15" s="69">
        <f t="shared" si="0"/>
        <v>1</v>
      </c>
      <c r="R15" s="70">
        <f t="shared" si="1"/>
        <v>22.767018857265079</v>
      </c>
      <c r="S15" s="77">
        <f t="shared" si="2"/>
        <v>497.34820542198997</v>
      </c>
      <c r="T15" s="64">
        <f t="shared" si="9"/>
        <v>236.28654969228111</v>
      </c>
      <c r="W15" s="58"/>
    </row>
    <row r="16" spans="1:24">
      <c r="H16" s="49">
        <f t="shared" si="3"/>
        <v>2030</v>
      </c>
      <c r="I16" s="79">
        <f t="shared" si="10"/>
        <v>4495.5999679692432</v>
      </c>
      <c r="J16" s="50">
        <f t="shared" si="4"/>
        <v>166490.70710645121</v>
      </c>
      <c r="K16" s="50">
        <f>IF(H16=Year_Open_to_Traffic?,Calculations!$E$4,K15+(K15*M16))</f>
        <v>150458.26864434851</v>
      </c>
      <c r="L16" s="50">
        <f>IF(AND(H16&gt;=Year_Open_to_Traffic?, Calculations!H16&lt;Year_Open_to_Traffic?+'Inputs &amp; Outputs'!B$21), 1, 0)</f>
        <v>1</v>
      </c>
      <c r="M16" s="65">
        <f t="shared" si="11"/>
        <v>2.0140510196577699E-2</v>
      </c>
      <c r="N16" s="71">
        <f t="shared" si="12"/>
        <v>0.42628484429824054</v>
      </c>
      <c r="O16" s="72">
        <f t="shared" si="7"/>
        <v>1</v>
      </c>
      <c r="P16" s="68">
        <f t="shared" si="8"/>
        <v>16032.438462102698</v>
      </c>
      <c r="Q16" s="69">
        <f t="shared" si="0"/>
        <v>1</v>
      </c>
      <c r="R16" s="70">
        <f t="shared" si="1"/>
        <v>23.290660290982171</v>
      </c>
      <c r="S16" s="77">
        <f t="shared" si="2"/>
        <v>519.03444822110578</v>
      </c>
      <c r="T16" s="64">
        <f t="shared" si="9"/>
        <v>230.45750226808715</v>
      </c>
      <c r="W16" s="58"/>
    </row>
    <row r="17" spans="1:23">
      <c r="A17" s="27"/>
      <c r="H17" s="14">
        <f t="shared" si="3"/>
        <v>2031</v>
      </c>
      <c r="I17" s="79">
        <f t="shared" si="10"/>
        <v>4586.1436449638622</v>
      </c>
      <c r="J17" s="50">
        <f t="shared" si="4"/>
        <v>169843.91489056413</v>
      </c>
      <c r="K17" s="50">
        <f>IF(H17=Year_Open_to_Traffic?,Calculations!$E$4,K16+(K16*M17))</f>
        <v>153488.57493813944</v>
      </c>
      <c r="L17" s="50">
        <f>IF(AND(H17&gt;=Year_Open_to_Traffic?, Calculations!H17&lt;Year_Open_to_Traffic?+'Inputs &amp; Outputs'!B$21), 1, 0)</f>
        <v>1</v>
      </c>
      <c r="M17" s="65">
        <f t="shared" si="11"/>
        <v>2.0140510196577699E-2</v>
      </c>
      <c r="N17" s="71">
        <f t="shared" si="12"/>
        <v>0.43487043855147578</v>
      </c>
      <c r="O17" s="72">
        <f t="shared" si="7"/>
        <v>1</v>
      </c>
      <c r="P17" s="68">
        <f t="shared" si="8"/>
        <v>16355.339952424692</v>
      </c>
      <c r="Q17" s="69">
        <f t="shared" si="0"/>
        <v>1</v>
      </c>
      <c r="R17" s="70">
        <f t="shared" si="1"/>
        <v>23.82634547767476</v>
      </c>
      <c r="S17" s="77">
        <f t="shared" si="2"/>
        <v>541.6662923546894</v>
      </c>
      <c r="T17" s="64">
        <f t="shared" si="9"/>
        <v>224.7722539467949</v>
      </c>
      <c r="W17" s="58"/>
    </row>
    <row r="18" spans="1:23">
      <c r="H18" s="49">
        <f t="shared" si="3"/>
        <v>2032</v>
      </c>
      <c r="I18" s="79">
        <f t="shared" si="10"/>
        <v>4678.5109178082266</v>
      </c>
      <c r="J18" s="50">
        <f t="shared" si="4"/>
        <v>173264.65799024422</v>
      </c>
      <c r="K18" s="50">
        <f>IF(H18=Year_Open_to_Traffic?,Calculations!$E$4,K17+(K17*M18))</f>
        <v>156579.91314673921</v>
      </c>
      <c r="L18" s="50">
        <f>IF(AND(H18&gt;=Year_Open_to_Traffic?, Calculations!H18&lt;Year_Open_to_Traffic?+'Inputs &amp; Outputs'!B$21), 1, 0)</f>
        <v>1</v>
      </c>
      <c r="M18" s="65">
        <f t="shared" si="11"/>
        <v>2.0140510196577699E-2</v>
      </c>
      <c r="N18" s="71">
        <f t="shared" si="12"/>
        <v>0.44362895105331202</v>
      </c>
      <c r="O18" s="72">
        <f t="shared" si="7"/>
        <v>1</v>
      </c>
      <c r="P18" s="68">
        <f t="shared" si="8"/>
        <v>16684.744843505003</v>
      </c>
      <c r="Q18" s="69">
        <f t="shared" si="0"/>
        <v>1</v>
      </c>
      <c r="R18" s="70">
        <f t="shared" si="1"/>
        <v>24.374351423661277</v>
      </c>
      <c r="S18" s="77">
        <f t="shared" si="2"/>
        <v>565.28496957929872</v>
      </c>
      <c r="T18" s="64">
        <f t="shared" si="9"/>
        <v>219.22725729080605</v>
      </c>
      <c r="W18" s="58"/>
    </row>
    <row r="19" spans="1:23">
      <c r="H19" s="14">
        <f t="shared" si="3"/>
        <v>2033</v>
      </c>
      <c r="I19" s="79">
        <f t="shared" si="10"/>
        <v>4772.7385146531433</v>
      </c>
      <c r="J19" s="50">
        <f t="shared" si="4"/>
        <v>176754.29660120327</v>
      </c>
      <c r="K19" s="50">
        <f>IF(H19=Year_Open_to_Traffic?,Calculations!$E$4,K18+(K18*M19))</f>
        <v>159733.51248405036</v>
      </c>
      <c r="L19" s="50">
        <f>IF(AND(H19&gt;=Year_Open_to_Traffic?, Calculations!H19&lt;Year_Open_to_Traffic?+'Inputs &amp; Outputs'!B$21), 1, 0)</f>
        <v>1</v>
      </c>
      <c r="M19" s="65">
        <f t="shared" si="11"/>
        <v>2.0140510196577699E-2</v>
      </c>
      <c r="N19" s="71">
        <f t="shared" si="12"/>
        <v>0.45256386446549829</v>
      </c>
      <c r="O19" s="72">
        <f t="shared" si="7"/>
        <v>1</v>
      </c>
      <c r="P19" s="68">
        <f t="shared" si="8"/>
        <v>17020.784117152914</v>
      </c>
      <c r="Q19" s="69">
        <f t="shared" si="0"/>
        <v>1</v>
      </c>
      <c r="R19" s="70">
        <f t="shared" si="1"/>
        <v>24.934961506405479</v>
      </c>
      <c r="S19" s="77">
        <f t="shared" si="2"/>
        <v>589.93350951036348</v>
      </c>
      <c r="T19" s="64">
        <f t="shared" si="9"/>
        <v>213.81905237567938</v>
      </c>
      <c r="W19" s="58"/>
    </row>
    <row r="20" spans="1:23">
      <c r="H20" s="49">
        <f t="shared" si="3"/>
        <v>2034</v>
      </c>
      <c r="I20" s="79">
        <f t="shared" si="10"/>
        <v>4868.8639033731142</v>
      </c>
      <c r="J20" s="50">
        <f t="shared" si="4"/>
        <v>180314.21831418874</v>
      </c>
      <c r="K20" s="50">
        <f>IF(H20=Year_Open_to_Traffic?,Calculations!$E$4,K19+(K19*M20))</f>
        <v>162950.62692097054</v>
      </c>
      <c r="L20" s="50">
        <f>IF(AND(H20&gt;=Year_Open_to_Traffic?, Calculations!H20&lt;Year_Open_to_Traffic?+'Inputs &amp; Outputs'!B$21), 1, 0)</f>
        <v>1</v>
      </c>
      <c r="M20" s="65">
        <f t="shared" si="11"/>
        <v>2.0140510196577699E-2</v>
      </c>
      <c r="N20" s="71">
        <f t="shared" si="12"/>
        <v>0.46167873159236827</v>
      </c>
      <c r="O20" s="72">
        <f t="shared" si="7"/>
        <v>1</v>
      </c>
      <c r="P20" s="68">
        <f t="shared" si="8"/>
        <v>17363.591393218201</v>
      </c>
      <c r="Q20" s="69">
        <f t="shared" si="0"/>
        <v>1</v>
      </c>
      <c r="R20" s="70">
        <f t="shared" si="1"/>
        <v>25.508465621052807</v>
      </c>
      <c r="S20" s="77">
        <f t="shared" si="2"/>
        <v>615.65681801556173</v>
      </c>
      <c r="T20" s="64">
        <f t="shared" si="9"/>
        <v>208.54426463123454</v>
      </c>
      <c r="W20" s="58"/>
    </row>
    <row r="21" spans="1:23">
      <c r="H21" s="14">
        <f t="shared" si="3"/>
        <v>2035</v>
      </c>
      <c r="I21" s="79">
        <f t="shared" si="10"/>
        <v>4966.9253064647492</v>
      </c>
      <c r="J21" s="50">
        <f t="shared" si="4"/>
        <v>183945.83866673359</v>
      </c>
      <c r="K21" s="50">
        <f>IF(H21=Year_Open_to_Traffic?,Calculations!$E$4,K20+(K20*M21))</f>
        <v>166232.53568401106</v>
      </c>
      <c r="L21" s="50">
        <f>IF(AND(H21&gt;=Year_Open_to_Traffic?, Calculations!H21&lt;Year_Open_to_Traffic?+'Inputs &amp; Outputs'!B$21), 1, 0)</f>
        <v>1</v>
      </c>
      <c r="M21" s="65">
        <f t="shared" si="11"/>
        <v>2.0140510196577699E-2</v>
      </c>
      <c r="N21" s="71">
        <f t="shared" si="12"/>
        <v>0.47097717679354745</v>
      </c>
      <c r="O21" s="72">
        <f t="shared" si="7"/>
        <v>1</v>
      </c>
      <c r="P21" s="68">
        <f t="shared" si="8"/>
        <v>17713.302982722525</v>
      </c>
      <c r="Q21" s="69">
        <f t="shared" si="0"/>
        <v>1</v>
      </c>
      <c r="R21" s="70">
        <f t="shared" si="1"/>
        <v>26.095160330337016</v>
      </c>
      <c r="S21" s="77">
        <f t="shared" si="2"/>
        <v>642.50175902643377</v>
      </c>
      <c r="T21" s="64">
        <f t="shared" si="9"/>
        <v>203.39960273591186</v>
      </c>
      <c r="W21" s="58"/>
    </row>
    <row r="22" spans="1:23">
      <c r="H22" s="49">
        <f>H21+1</f>
        <v>2036</v>
      </c>
      <c r="I22" s="79">
        <f t="shared" si="10"/>
        <v>5066.9617162452423</v>
      </c>
      <c r="J22" s="50">
        <f t="shared" si="4"/>
        <v>187650.60170601896</v>
      </c>
      <c r="K22" s="50">
        <f>IF(H22=Year_Open_to_Traffic?,Calculations!$E$4,K21+(K21*M22))</f>
        <v>169580.54376395786</v>
      </c>
      <c r="L22" s="50">
        <f>IF(AND(H22&gt;=Year_Open_to_Traffic?, Calculations!H22&lt;Year_Open_to_Traffic?+'Inputs &amp; Outputs'!B$21), 1, 0)</f>
        <v>1</v>
      </c>
      <c r="M22" s="65">
        <f t="shared" si="11"/>
        <v>2.0140510196577699E-2</v>
      </c>
      <c r="N22" s="71">
        <f t="shared" si="12"/>
        <v>0.48046289742511328</v>
      </c>
      <c r="O22" s="72">
        <f t="shared" si="7"/>
        <v>1</v>
      </c>
      <c r="P22" s="68">
        <f t="shared" si="8"/>
        <v>18070.057942061103</v>
      </c>
      <c r="Q22" s="69">
        <f t="shared" si="0"/>
        <v>1</v>
      </c>
      <c r="R22" s="70">
        <f t="shared" si="1"/>
        <v>26.695349017934767</v>
      </c>
      <c r="S22" s="77">
        <f t="shared" si="2"/>
        <v>670.51723991729898</v>
      </c>
      <c r="T22" s="64">
        <f t="shared" si="9"/>
        <v>198.38185656308079</v>
      </c>
      <c r="W22" s="58"/>
    </row>
    <row r="23" spans="1:23">
      <c r="H23" s="14">
        <f t="shared" si="3"/>
        <v>2037</v>
      </c>
      <c r="I23" s="79">
        <f t="shared" si="10"/>
        <v>5169.0129103569489</v>
      </c>
      <c r="J23" s="50">
        <f t="shared" si="4"/>
        <v>191429.98056307298</v>
      </c>
      <c r="K23" s="50">
        <f>IF(H23=Year_Open_to_Traffic?,Calculations!$E$4,K22+(K22*M23))</f>
        <v>172995.98243477705</v>
      </c>
      <c r="L23" s="50">
        <f>IF(AND(H23&gt;=Year_Open_to_Traffic?, Calculations!H23&lt;Year_Open_to_Traffic?+'Inputs &amp; Outputs'!B$21), 1, 0)</f>
        <v>1</v>
      </c>
      <c r="M23" s="65">
        <f t="shared" si="11"/>
        <v>2.0140510196577699E-2</v>
      </c>
      <c r="N23" s="71">
        <f t="shared" si="12"/>
        <v>0.49013966530978104</v>
      </c>
      <c r="O23" s="72">
        <f t="shared" si="7"/>
        <v>1</v>
      </c>
      <c r="P23" s="68">
        <f t="shared" si="8"/>
        <v>18433.998128295934</v>
      </c>
      <c r="Q23" s="69">
        <f t="shared" si="0"/>
        <v>1</v>
      </c>
      <c r="R23" s="70">
        <f t="shared" si="1"/>
        <v>27.309342045347261</v>
      </c>
      <c r="S23" s="77">
        <f t="shared" si="2"/>
        <v>699.75430060700558</v>
      </c>
      <c r="T23" s="64">
        <f t="shared" si="9"/>
        <v>193.48789517800898</v>
      </c>
      <c r="W23" s="58"/>
    </row>
    <row r="24" spans="1:23">
      <c r="H24" s="49">
        <f t="shared" si="3"/>
        <v>2038</v>
      </c>
      <c r="I24" s="79">
        <f t="shared" si="10"/>
        <v>5273.1194675842344</v>
      </c>
      <c r="J24" s="50">
        <f t="shared" si="4"/>
        <v>195285.47803853423</v>
      </c>
      <c r="K24" s="50">
        <f>IF(H24=Year_Open_to_Traffic?,Calculations!$E$4,K23+(K23*M24))</f>
        <v>176480.20978297165</v>
      </c>
      <c r="L24" s="50">
        <f>IF(AND(H24&gt;=Year_Open_to_Traffic?, Calculations!H24&lt;Year_Open_to_Traffic?+'Inputs &amp; Outputs'!B$21), 1, 0)</f>
        <v>1</v>
      </c>
      <c r="M24" s="65">
        <f t="shared" si="11"/>
        <v>2.0140510196577699E-2</v>
      </c>
      <c r="N24" s="71">
        <f t="shared" si="12"/>
        <v>0.50001132823669991</v>
      </c>
      <c r="O24" s="72">
        <f t="shared" si="7"/>
        <v>1</v>
      </c>
      <c r="P24" s="68">
        <f>(J24-K24)*L24</f>
        <v>18805.26825556258</v>
      </c>
      <c r="Q24" s="69">
        <f t="shared" si="0"/>
        <v>1</v>
      </c>
      <c r="R24" s="70">
        <f t="shared" si="1"/>
        <v>27.93745691239025</v>
      </c>
      <c r="S24" s="77">
        <f t="shared" si="2"/>
        <v>730.26620654585042</v>
      </c>
      <c r="T24" s="64">
        <f t="shared" si="9"/>
        <v>188.71466488424534</v>
      </c>
      <c r="W24" s="58"/>
    </row>
    <row r="25" spans="1:23">
      <c r="H25" s="14">
        <f t="shared" si="3"/>
        <v>2039</v>
      </c>
      <c r="I25" s="79">
        <f t="shared" si="10"/>
        <v>5379.3227839888868</v>
      </c>
      <c r="J25" s="50">
        <f t="shared" si="4"/>
        <v>199218.62720021288</v>
      </c>
      <c r="K25" s="50">
        <f>IF(H25=Year_Open_to_Traffic?,Calculations!$E$4,K24+(K24*M25))</f>
        <v>180034.61124759977</v>
      </c>
      <c r="L25" s="50">
        <f>IF(AND(H25&gt;=Year_Open_to_Traffic?, Calculations!H25&lt;Year_Open_to_Traffic?+'Inputs &amp; Outputs'!B$21), 1, 0)</f>
        <v>1</v>
      </c>
      <c r="M25" s="65">
        <f t="shared" si="11"/>
        <v>2.0140510196577699E-2</v>
      </c>
      <c r="N25" s="71">
        <f t="shared" si="12"/>
        <v>0.51008181149145548</v>
      </c>
      <c r="O25" s="72">
        <f t="shared" si="7"/>
        <v>1</v>
      </c>
      <c r="P25" s="68">
        <f t="shared" si="8"/>
        <v>19184.015952613117</v>
      </c>
      <c r="Q25" s="69">
        <f t="shared" si="0"/>
        <v>1</v>
      </c>
      <c r="R25" s="70">
        <f t="shared" si="1"/>
        <v>28.580018421375218</v>
      </c>
      <c r="S25" s="77">
        <f t="shared" si="2"/>
        <v>762.10854575707799</v>
      </c>
      <c r="T25" s="64">
        <f t="shared" si="9"/>
        <v>184.05918731819787</v>
      </c>
      <c r="W25" s="58"/>
    </row>
    <row r="26" spans="1:23">
      <c r="H26" s="49">
        <f t="shared" si="3"/>
        <v>2040</v>
      </c>
      <c r="I26" s="79">
        <f t="shared" si="10"/>
        <v>5487.6650893704973</v>
      </c>
      <c r="J26" s="50">
        <f t="shared" si="4"/>
        <v>203230.99199268699</v>
      </c>
      <c r="K26" s="50">
        <f>IF(H26=Year_Open_to_Traffic?,Calculations!$E$4,K25+(K25*M26))</f>
        <v>183660.60017116895</v>
      </c>
      <c r="L26" s="50">
        <f>IF(AND(H26&gt;=Year_Open_to_Traffic?, Calculations!H26&lt;Year_Open_to_Traffic?+'Inputs &amp; Outputs'!B$21), 1, 0)</f>
        <v>1</v>
      </c>
      <c r="M26" s="65">
        <f t="shared" si="11"/>
        <v>2.0140510196577699E-2</v>
      </c>
      <c r="N26" s="71">
        <f t="shared" si="12"/>
        <v>0.52035511941688795</v>
      </c>
      <c r="O26" s="72">
        <f t="shared" si="7"/>
        <v>1</v>
      </c>
      <c r="P26" s="68">
        <f t="shared" si="8"/>
        <v>19570.391821518046</v>
      </c>
      <c r="Q26" s="69">
        <f t="shared" si="0"/>
        <v>1</v>
      </c>
      <c r="R26" s="70">
        <f t="shared" si="1"/>
        <v>29.237358845066851</v>
      </c>
      <c r="S26" s="77">
        <f t="shared" si="2"/>
        <v>795.33933010975556</v>
      </c>
      <c r="T26" s="64">
        <f t="shared" si="9"/>
        <v>179.51855759071827</v>
      </c>
      <c r="W26" s="58"/>
    </row>
    <row r="27" spans="1:23">
      <c r="H27" s="14">
        <f t="shared" si="3"/>
        <v>2041</v>
      </c>
      <c r="I27" s="79">
        <f t="shared" si="10"/>
        <v>5598.1894640583669</v>
      </c>
      <c r="J27" s="50">
        <f t="shared" si="4"/>
        <v>207324.16785917629</v>
      </c>
      <c r="K27" s="50">
        <f>IF(H27=Year_Open_to_Traffic?,Calculations!$E$4,K26+(K26*M27))</f>
        <v>187359.61836162597</v>
      </c>
      <c r="L27" s="50">
        <f>IF(AND(H27&gt;=Year_Open_to_Traffic?, Calculations!H27&lt;Year_Open_to_Traffic?+'Inputs &amp; Outputs'!B$21), 1, 0)</f>
        <v>1</v>
      </c>
      <c r="M27" s="65">
        <f t="shared" si="11"/>
        <v>2.0140510196577699E-2</v>
      </c>
      <c r="N27" s="71">
        <f t="shared" si="12"/>
        <v>0.53083533700534513</v>
      </c>
      <c r="O27" s="72">
        <f t="shared" si="7"/>
        <v>1</v>
      </c>
      <c r="P27" s="68">
        <f t="shared" si="8"/>
        <v>19964.549497550324</v>
      </c>
      <c r="Q27" s="69">
        <f t="shared" si="0"/>
        <v>1</v>
      </c>
      <c r="R27" s="70">
        <f t="shared" si="1"/>
        <v>29.909818098503379</v>
      </c>
      <c r="S27" s="77">
        <f t="shared" si="2"/>
        <v>830.01910100751309</v>
      </c>
      <c r="T27" s="64">
        <f t="shared" si="9"/>
        <v>175.08994247452969</v>
      </c>
      <c r="W27" s="58"/>
    </row>
    <row r="28" spans="1:23">
      <c r="H28" s="49">
        <f t="shared" si="3"/>
        <v>2042</v>
      </c>
      <c r="I28" s="79">
        <f t="shared" si="10"/>
        <v>5710.9398560416084</v>
      </c>
      <c r="J28" s="50">
        <f t="shared" si="4"/>
        <v>211499.78237594102</v>
      </c>
      <c r="K28" s="50">
        <f>IF(H28=Year_Open_to_Traffic?,Calculations!$E$4,K27+(K27*M28))</f>
        <v>191133.1366656652</v>
      </c>
      <c r="L28" s="50">
        <f>IF(AND(H28&gt;=Year_Open_to_Traffic?, Calculations!H28&lt;Year_Open_to_Traffic?+'Inputs &amp; Outputs'!B$21), 1, 0)</f>
        <v>1</v>
      </c>
      <c r="M28" s="65">
        <f t="shared" si="11"/>
        <v>2.0140510196577699E-2</v>
      </c>
      <c r="N28" s="71">
        <f t="shared" si="12"/>
        <v>0.54152663152300506</v>
      </c>
      <c r="O28" s="72">
        <f t="shared" si="7"/>
        <v>1</v>
      </c>
      <c r="P28" s="68">
        <f t="shared" si="8"/>
        <v>20366.645710275829</v>
      </c>
      <c r="Q28" s="69">
        <f t="shared" si="0"/>
        <v>1</v>
      </c>
      <c r="R28" s="70">
        <f t="shared" si="1"/>
        <v>30.597743914768959</v>
      </c>
      <c r="S28" s="77">
        <f t="shared" si="2"/>
        <v>866.211039685728</v>
      </c>
      <c r="T28" s="64">
        <f t="shared" si="9"/>
        <v>170.77057863637398</v>
      </c>
      <c r="W28" s="58"/>
    </row>
    <row r="29" spans="1:23">
      <c r="H29" s="14">
        <f t="shared" si="3"/>
        <v>2043</v>
      </c>
      <c r="I29" s="79">
        <f t="shared" si="10"/>
        <v>5825.9610984442561</v>
      </c>
      <c r="J29" s="50">
        <f t="shared" si="4"/>
        <v>215759.49589945763</v>
      </c>
      <c r="K29" s="50">
        <f>IF(H29=Year_Open_to_Traffic?,Calculations!$E$4,K28+(K28*M29))</f>
        <v>194982.6555535839</v>
      </c>
      <c r="L29" s="50">
        <f>IF(AND(H29&gt;=Year_Open_to_Traffic?, Calculations!H29&lt;Year_Open_to_Traffic?+'Inputs &amp; Outputs'!B$21), 1, 0)</f>
        <v>0</v>
      </c>
      <c r="M29" s="65">
        <f t="shared" si="11"/>
        <v>2.0140510196577699E-2</v>
      </c>
      <c r="N29" s="71">
        <f t="shared" si="12"/>
        <v>0.55243325416691247</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5943.2989273523381</v>
      </c>
      <c r="J30" s="50">
        <f t="shared" si="4"/>
        <v>220105.00222662912</v>
      </c>
      <c r="K30" s="50">
        <f>IF(H30=Year_Open_to_Traffic?,Calculations!$E$4,K29+(K29*M30))</f>
        <v>198909.70571591664</v>
      </c>
      <c r="L30" s="50">
        <f>IF(AND(H30&gt;=Year_Open_to_Traffic?, Calculations!H30&lt;Year_Open_to_Traffic?+'Inputs &amp; Outputs'!B$21), 1, 0)</f>
        <v>0</v>
      </c>
      <c r="M30" s="65">
        <f t="shared" si="11"/>
        <v>2.0140510196577699E-2</v>
      </c>
      <c r="N30" s="71">
        <f t="shared" si="12"/>
        <v>0.5635595417553898</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6062.9999999999873</v>
      </c>
      <c r="J31" s="50">
        <f t="shared" si="4"/>
        <v>224538.0292682923</v>
      </c>
      <c r="K31" s="50">
        <f>IF(H31=Year_Open_to_Traffic?,Calculations!$E$4,K30+(K30*M31))</f>
        <v>202915.84867208634</v>
      </c>
      <c r="L31" s="50">
        <f>IF(AND(H31&gt;=Year_Open_to_Traffic?, Calculations!H31&lt;Year_Open_to_Traffic?+'Inputs &amp; Outputs'!B$21), 1, 0)</f>
        <v>0</v>
      </c>
      <c r="M31" s="65">
        <f t="shared" si="11"/>
        <v>2.0140510196577699E-2</v>
      </c>
      <c r="N31" s="71">
        <f t="shared" si="12"/>
        <v>0.57490991845249284</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6185.1119133218372</v>
      </c>
      <c r="J32" s="50">
        <f t="shared" si="4"/>
        <v>229060.33973628981</v>
      </c>
      <c r="K32" s="50">
        <f>IF(H32=Year_Open_to_Traffic?,Calculations!$E$4,K31+(K31*M32))</f>
        <v>207002.67739131371</v>
      </c>
      <c r="L32" s="50">
        <f>IF(AND(H32&gt;=Year_Open_to_Traffic?, Calculations!H32&lt;Year_Open_to_Traffic?+'Inputs &amp; Outputs'!B$21), 1, 0)</f>
        <v>0</v>
      </c>
      <c r="M32" s="65">
        <f t="shared" si="11"/>
        <v>2.0140510196577699E-2</v>
      </c>
      <c r="N32" s="71">
        <f t="shared" si="12"/>
        <v>0.5864888975271989</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6309.6832228790699</v>
      </c>
      <c r="J33" s="50">
        <f t="shared" si="4"/>
        <v>233673.73184438012</v>
      </c>
      <c r="K33" s="50">
        <f>IF(H33=Year_Open_to_Traffic?,Calculations!$E$4,K32+(K32*M33))</f>
        <v>211171.81692603236</v>
      </c>
      <c r="L33" s="50">
        <f>IF(AND(H33&gt;=Year_Open_to_Traffic?, Calculations!H33&lt;Year_Open_to_Traffic?+'Inputs &amp; Outputs'!B$21), 1, 0)</f>
        <v>0</v>
      </c>
      <c r="M33" s="65">
        <f t="shared" si="11"/>
        <v>2.0140510196577699E-2</v>
      </c>
      <c r="N33" s="71">
        <f t="shared" si="12"/>
        <v>0.5983010831480251</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6436.7634621666411</v>
      </c>
      <c r="J34" s="50">
        <f t="shared" si="4"/>
        <v>238380.04002326421</v>
      </c>
      <c r="K34" s="50">
        <f>IF(H34=Year_Open_to_Traffic?,Calculations!$E$4,K33+(K33*M34))</f>
        <v>215424.92505806097</v>
      </c>
      <c r="L34" s="50">
        <f>IF(AND(H34&gt;=Year_Open_to_Traffic?, Calculations!H34&lt;Year_Open_to_Traffic?+'Inputs &amp; Outputs'!B$21), 1, 0)</f>
        <v>0</v>
      </c>
      <c r="M34" s="65">
        <f t="shared" si="11"/>
        <v>2.0140510196577699E-2</v>
      </c>
      <c r="N34" s="71">
        <f t="shared" si="12"/>
        <v>0.61035117221379143</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6566.403162309367</v>
      </c>
      <c r="J35" s="50">
        <f t="shared" si="4"/>
        <v>243181.13565001337</v>
      </c>
      <c r="K35" s="50">
        <f>IF(H35=Year_Open_to_Traffic?,Calculations!$E$4,K34+(K34*M35))</f>
        <v>219763.69295778984</v>
      </c>
      <c r="L35" s="50">
        <f>IF(AND(H35&gt;=Year_Open_to_Traffic?, Calculations!H35&lt;Year_Open_to_Traffic?+'Inputs &amp; Outputs'!B$21), 1, 0)</f>
        <v>0</v>
      </c>
      <c r="M35" s="65">
        <f t="shared" si="11"/>
        <v>2.0140510196577699E-2</v>
      </c>
      <c r="N35" s="71">
        <f t="shared" si="12"/>
        <v>0.62264395622125646</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6698.6538721546985</v>
      </c>
      <c r="J36" s="50">
        <f t="shared" si="4"/>
        <v>248078.92779218781</v>
      </c>
      <c r="K36" s="50">
        <f>IF(H36=Year_Open_to_Traffic?,Calculations!$E$4,K35+(K35*M36))</f>
        <v>224189.84585664378</v>
      </c>
      <c r="L36" s="50">
        <f>IF(AND(H36&gt;=Year_Open_to_Traffic?, Calculations!H36&lt;Year_Open_to_Traffic?+'Inputs &amp; Outputs'!B$21), 1, 0)</f>
        <v>0</v>
      </c>
      <c r="M36" s="65">
        <f t="shared" si="11"/>
        <v>2.0140510196577699E-2</v>
      </c>
      <c r="N36" s="71">
        <f t="shared" si="12"/>
        <v>0.6351843231703681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4392.8872554861209</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B5" sqref="B5"/>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52</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43881-3E03-4D2E-AC17-A8A15DB7D97F}"/>
</file>

<file path=customXml/itemProps2.xml><?xml version="1.0" encoding="utf-8"?>
<ds:datastoreItem xmlns:ds="http://schemas.openxmlformats.org/officeDocument/2006/customXml" ds:itemID="{70111AA4-361E-4F90-91FD-91C2EF2DCA86}"/>
</file>

<file path=customXml/itemProps3.xml><?xml version="1.0" encoding="utf-8"?>
<ds:datastoreItem xmlns:ds="http://schemas.openxmlformats.org/officeDocument/2006/customXml" ds:itemID="{DC605986-6776-4D8D-A688-9C4586B4661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