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Broadway\"/>
    </mc:Choice>
  </mc:AlternateContent>
  <xr:revisionPtr revIDLastSave="0" documentId="10_ncr:100000_{4FBAAF63-7F40-4E4C-82C3-EDC50B745739}" xr6:coauthVersionLast="31" xr6:coauthVersionMax="31" xr10:uidLastSave="{00000000-0000-0000-0000-000000000000}"/>
  <bookViews>
    <workbookView xWindow="0" yWindow="0" windowWidth="20580" windowHeight="969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Outputs'!$B$1:$H$37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<sst xmlns="http://schemas.openxmlformats.org/spreadsheetml/2006/main" count="440" uniqueCount="284">
  <si>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</si>
  <si>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</si>
  <si>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</si>
  <si>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</si>
  <si>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</si>
  <si>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</si>
  <si>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</si>
  <si>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</si>
  <si>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</si>
  <si>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</si>
  <si>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</si>
  <si>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</si>
  <si>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</si>
  <si>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</si>
  <si>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</si>
  <si>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</si>
  <si>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</si>
  <si>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</si>
  <si>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</si>
  <si>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</si>
  <si>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</si>
  <si>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</si>
  <si>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</si>
  <si>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</si>
  <si>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</si>
  <si>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</si>
  <si>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</si>
  <si>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</si>
  <si>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</si>
  <si>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</si>
  <si>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</si>
  <si>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</si>
  <si>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</si>
  <si>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</si>
  <si>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</si>
  <si>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</si>
  <si>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</si>
  <si>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</si>
  <si>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</si>
  <si>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</si>
  <si>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</si>
  <si>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</si>
  <si>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</si>
  <si>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</si>
  <si>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</si>
  <si>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</si>
  <si>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</si>
  <si>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</si>
  <si>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</si>
  <si>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</si>
  <si>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</si>
  <si>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</si>
  <si>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</si>
  <si>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</si>
  <si>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</si>
  <si>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</si>
  <si>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</si>
  <si>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</si>
  <si>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</si>
  <si>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</si>
  <si>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</si>
  <si>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</si>
  <si>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</si>
  <si>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</si>
  <si>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</si>
  <si>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</si>
  <si>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</si>
  <si>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</si>
  <si>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</si>
  <si>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</si>
  <si>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</si>
  <si>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</si>
  <si>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</si>
  <si>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</si>
  <si>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</si>
  <si>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</si>
  <si>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</si>
  <si>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</si>
  <si>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</si>
  <si>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</si>
  <si>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</si>
  <si>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</si>
  <si>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</si>
  <si>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</si>
  <si>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</si>
  <si>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</si>
  <si>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</si>
  <si>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</si>
  <si>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</si>
  <si>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</si>
  <si>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</si>
  <si>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</si>
  <si>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</si>
  <si>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</si>
  <si>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</si>
  <si>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</si>
  <si>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</si>
  <si>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</si>
  <si>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</si>
  <si>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</si>
  <si>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</si>
  <si>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</si>
  <si>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</si>
  <si>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</si>
  <si>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</si>
  <si>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</si>
  <si>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</si>
  <si>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</si>
  <si>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</si>
  <si>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</si>
  <si>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</si>
  <si>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</si>
  <si>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</si>
  <si>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</si>
  <si>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</si>
  <si>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</si>
  <si>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</si>
  <si>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</si>
  <si>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</si>
  <si>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</si>
  <si>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</si>
  <si>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</si>
  <si>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</si>
  <si>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</si>
  <si>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</si>
  <si>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</si>
  <si>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</si>
  <si>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</si>
  <si>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</si>
  <si>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</si>
  <si>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</si>
  <si>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</si>
  <si>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</si>
  <si>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</si>
  <si>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</si>
  <si>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</si>
  <si>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</si>
  <si>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</si>
  <si>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</si>
  <si>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</si>
  <si>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</si>
  <si>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</si>
  <si>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</si>
  <si>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</si>
  <si>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</si>
  <si>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</si>
  <si>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</si>
  <si>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</si>
  <si>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</si>
  <si>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</si>
  <si>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</si>
  <si>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</si>
  <si>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</si>
  <si>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</si>
  <si>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</si>
  <si>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</si>
  <si>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</si>
  <si>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</si>
  <si>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</si>
  <si>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</si>
  <si>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</si>
  <si>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</si>
  <si>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</si>
  <si>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</si>
  <si>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</si>
  <si>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</si>
  <si>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</si>
  <si>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</si>
  <si>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</si>
  <si>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</si>
  <si>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</si>
  <si>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</si>
  <si>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</si>
  <si>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</si>
  <si>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</si>
  <si>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</si>
  <si>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</si>
  <si>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</si>
  <si>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</si>
  <si>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</si>
  <si>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</si>
  <si>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</si>
  <si>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</si>
  <si>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</si>
  <si>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</si>
  <si>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</si>
  <si>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</si>
  <si>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</si>
  <si>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</si>
  <si>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</si>
  <si>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</si>
  <si>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</si>
  <si>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</si>
  <si>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</si>
  <si>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</si>
  <si>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</si>
  <si>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</si>
  <si>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</si>
  <si>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</si>
  <si>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</si>
  <si>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</si>
  <si>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</si>
  <si>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</si>
  <si>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</si>
  <si>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</si>
  <si>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</si>
  <si>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</si>
  <si>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</si>
  <si>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</si>
  <si>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</si>
  <si>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</si>
  <si>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</si>
  <si>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</si>
  <si>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</si>
  <si>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</si>
  <si>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</si>
  <si>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</si>
  <si>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</si>
  <si>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</si>
  <si>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</si>
  <si>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</si>
  <si>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</si>
  <si>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</si>
  <si>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</si>
  <si>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</si>
  <si>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</si>
  <si>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</si>
  <si>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</si>
  <si>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</si>
  <si>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</si>
  <si>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</si>
  <si>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</si>
  <si>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</si>
  <si>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</si>
  <si>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</si>
  <si>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</si>
  <si>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</si>
  <si>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</si>
  <si>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</si>
  <si>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</si>
  <si>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</si>
  <si>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</si>
  <si>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</si>
  <si>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</si>
  <si>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</si>
  <si>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</si>
  <si>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</si>
  <si>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</si>
  <si>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</si>
  <si>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</si>
  <si>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</si>
  <si>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</si>
  <si>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</si>
  <si>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</si>
  <si>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</si>
  <si>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</si>
  <si>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</si>
  <si>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</si>
  <si>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</si>
  <si>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</si>
  <si>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</si>
  <si>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</si>
  <si>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</si>
  <si>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</si>
  <si>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</si>
  <si>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</si>
  <si>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</si>
  <si>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</si>
  <si>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</si>
  <si>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</si>
  <si>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</si>
  <si>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</si>
  <si>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</si>
  <si>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</si>
  <si>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</si>
  <si>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</si>
  <si>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</si>
  <si>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</si>
  <si>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</si>
  <si>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</si>
  <si>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</si>
  <si>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Broadway</t>
  </si>
  <si>
    <t>I-45</t>
  </si>
  <si>
    <t>SH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</si>
</sst>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topLeftCell="A25" zoomScaleNormal="100" workbookViewId="0">
      <selection activeCell="J26" sqref="J26"/>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1.7</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ht="30" x14ac:dyDescent="0.25">
      <c r="B18" s="4" t="s">
        <v>259</v>
      </c>
      <c r="C18" s="120" t="s">
        <v>242</v>
      </c>
      <c r="D18" s="26"/>
    </row>
    <row r="19" spans="2:13" x14ac:dyDescent="0.25">
      <c r="B19" s="122" t="s">
        <v>251</v>
      </c>
      <c r="C19" s="174">
        <f>VLOOKUP(C18,'CRF Lookup Table'!C3:F84,2, FALSE)</f>
        <v>305</v>
      </c>
      <c r="D19" s="97"/>
    </row>
    <row r="20" spans="2:13" x14ac:dyDescent="0.25">
      <c r="B20" s="122" t="s">
        <v>102</v>
      </c>
      <c r="C20" s="175">
        <f>VLOOKUP(C18,'CRF Lookup Table'!C3:F84,3, FALSE)</f>
        <v>0.75</v>
      </c>
      <c r="D20" s="98"/>
      <c r="F20" s="68"/>
    </row>
    <row r="21" spans="2:13" x14ac:dyDescent="0.25">
      <c r="B21" s="122" t="s">
        <v>101</v>
      </c>
      <c r="C21" s="176">
        <f>VLOOKUP(C18,'CRF Lookup Table'!C3:F84,4, FALSE)</f>
        <v>15</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17150</v>
      </c>
      <c r="D25" s="99"/>
      <c r="I25" s="49"/>
    </row>
    <row r="26" spans="2:13" x14ac:dyDescent="0.25">
      <c r="I26" s="49"/>
    </row>
    <row r="27" spans="2:13" x14ac:dyDescent="0.25">
      <c r="B27" s="86" t="s">
        <v>269</v>
      </c>
      <c r="C27" s="87">
        <v>10136</v>
      </c>
      <c r="D27" s="99"/>
      <c r="I27" s="49"/>
    </row>
    <row r="28" spans="2:13" x14ac:dyDescent="0.25">
      <c r="B28" s="86" t="s">
        <v>150</v>
      </c>
      <c r="C28" s="87">
        <v>23903</v>
      </c>
      <c r="D28" s="99"/>
      <c r="I28" s="49"/>
    </row>
    <row r="29" spans="2:13" x14ac:dyDescent="0.25">
      <c r="B29" s="86" t="s">
        <v>270</v>
      </c>
      <c r="C29" s="88">
        <v>10289</v>
      </c>
      <c r="D29" s="69"/>
      <c r="I29" s="49"/>
    </row>
    <row r="30" spans="2:13" x14ac:dyDescent="0.25">
      <c r="B30" s="86" t="s">
        <v>151</v>
      </c>
      <c r="C30" s="88">
        <v>23903</v>
      </c>
      <c r="D30" s="69"/>
      <c r="I30" s="49"/>
    </row>
    <row r="31" spans="2:13" x14ac:dyDescent="0.25">
      <c r="B31" s="86" t="s">
        <v>271</v>
      </c>
      <c r="C31" s="87">
        <v>11218</v>
      </c>
      <c r="D31" s="99"/>
      <c r="H31" s="70"/>
    </row>
    <row r="32" spans="2:13" x14ac:dyDescent="0.25">
      <c r="B32" s="86" t="s">
        <v>152</v>
      </c>
      <c r="C32" s="87">
        <v>23903</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19144.110180958127</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17408.874309392275</v>
      </c>
      <c r="G4" s="183" t="s">
        <v>260</v>
      </c>
      <c r="H4" s="183"/>
      <c r="I4" s="183"/>
      <c r="J4" s="183"/>
      <c r="L4" s="136"/>
      <c r="M4" s="137">
        <v>2018</v>
      </c>
      <c r="N4" s="138">
        <f>_2018_Volume_ADT</f>
        <v>17150</v>
      </c>
      <c r="O4" s="139" t="s">
        <v>85</v>
      </c>
      <c r="P4" s="140">
        <f>MIN(B12,1)</f>
        <v>0.42404719072919717</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15</v>
      </c>
      <c r="D5" s="134" t="s">
        <v>145</v>
      </c>
      <c r="E5" s="135">
        <f>$E$4*'Inputs &amp; Outputs'!$C$12</f>
        <v>29595.086325966866</v>
      </c>
      <c r="G5" s="184" t="s">
        <v>261</v>
      </c>
      <c r="H5" s="184"/>
      <c r="I5" s="184"/>
      <c r="J5" s="143">
        <f>SUMPRODUCT(Possible_Crash_Reductions,'Value of Statistical Life'!E5:E11)</f>
        <v>3076364.8761389814</v>
      </c>
      <c r="L5" s="136"/>
      <c r="M5" s="144">
        <f t="shared" ref="M5:M36" si="1">M4+1</f>
        <v>2019</v>
      </c>
      <c r="N5" s="145">
        <f>N4+(N4*O5)</f>
        <v>17186.745013095944</v>
      </c>
      <c r="O5" s="146">
        <f t="shared" ref="O5:O11" si="2">IF(ISERROR(_2025_2045_Demand_Growth),_2018_2045_Demand_Growth,_2018_2025_Demand_Growth)</f>
        <v>2.1425663612795187E-3</v>
      </c>
      <c r="P5" s="147">
        <f t="shared" ref="P5:P11" si="3">P4*(1+IFERROR(_2018_2025_V_C_Growth,_2018_2045_V_C_Growth))</f>
        <v>0.42495573997564862</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7694722.4447513847</v>
      </c>
      <c r="L6" s="136"/>
      <c r="M6" s="137">
        <f t="shared" si="1"/>
        <v>2020</v>
      </c>
      <c r="N6" s="145">
        <f t="shared" ref="N6:N36" si="6">N5+(N5*O6)</f>
        <v>17223.568754820892</v>
      </c>
      <c r="O6" s="146">
        <f t="shared" si="2"/>
        <v>2.1425663612795187E-3</v>
      </c>
      <c r="P6" s="147">
        <f t="shared" si="3"/>
        <v>0.42586623584915306</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17260.471393856154</v>
      </c>
      <c r="O7" s="146">
        <f t="shared" si="2"/>
        <v>2.1425663612795187E-3</v>
      </c>
      <c r="P7" s="147">
        <f t="shared" si="3"/>
        <v>0.42677868252048817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17297.45309924446</v>
      </c>
      <c r="O8" s="146">
        <f t="shared" si="2"/>
        <v>2.1425663612795187E-3</v>
      </c>
      <c r="P8" s="147">
        <f t="shared" si="3"/>
        <v>0.42769308416936774</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2.1425663612795187E-3</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17334.51404039071</v>
      </c>
      <c r="O9" s="146">
        <f t="shared" si="2"/>
        <v>2.1425663612795187E-3</v>
      </c>
      <c r="P9" s="147">
        <f t="shared" si="3"/>
        <v>0.42860944498446091</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4.3315676210411436E-3</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17371.654387062779</v>
      </c>
      <c r="O10" s="146">
        <f t="shared" si="2"/>
        <v>2.1425663612795187E-3</v>
      </c>
      <c r="P10" s="147">
        <f t="shared" si="3"/>
        <v>0.42952776916341129</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3.7635900691583846E-3</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17408.874309392275</v>
      </c>
      <c r="O11" s="146">
        <f t="shared" si="2"/>
        <v>2.1425663612795187E-3</v>
      </c>
      <c r="P11" s="147">
        <f t="shared" si="3"/>
        <v>0.43044806091285626</v>
      </c>
      <c r="Q11" s="148">
        <f t="shared" si="4"/>
        <v>1</v>
      </c>
      <c r="R11" s="37">
        <f>IF(M11=Year_Open_to_Traffic?,Calculations!$J$5,Calculations!R10+(Calculations!R10*Calculations!O11*Q11))</f>
        <v>3076364.8761389814</v>
      </c>
      <c r="S11" s="54">
        <f t="shared" si="0"/>
        <v>1</v>
      </c>
      <c r="T11" s="37">
        <f t="shared" si="5"/>
        <v>3076.3648761389813</v>
      </c>
      <c r="U11" s="142">
        <f>T11/(1+Real_Discount_Rate)^(Calculations!M11-'Assumed Values'!$C$5)</f>
        <v>1915.8054325583728</v>
      </c>
    </row>
    <row r="12" spans="1:21" ht="15.75" x14ac:dyDescent="0.25">
      <c r="A12" s="152" t="s">
        <v>75</v>
      </c>
      <c r="B12" s="156">
        <f>'Inputs &amp; Outputs'!C27/_2018_Peak_Period_Capacity</f>
        <v>0.42404719072919717</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17484.282025669614</v>
      </c>
      <c r="O12" s="146">
        <f t="shared" ref="O12:O36" si="7">IFERROR(_2025_2045_Demand_Growth,_2018_2045_Demand_Growth)</f>
        <v>4.3315676210411436E-3</v>
      </c>
      <c r="P12" s="147">
        <f t="shared" ref="P12:P36" si="8">P11*(1+IFERROR(_2025_2040_V_C_Growth,_2018_2045_V_C_Growth))</f>
        <v>0.43231257579604632</v>
      </c>
      <c r="Q12" s="148">
        <f t="shared" si="4"/>
        <v>1</v>
      </c>
      <c r="R12" s="37">
        <f>IF(M12=Year_Open_to_Traffic?,Calculations!$J$5,Calculations!R11+(Calculations!R11*Calculations!O12*Q12))</f>
        <v>3089690.3586269733</v>
      </c>
      <c r="S12" s="54">
        <f t="shared" si="0"/>
        <v>1</v>
      </c>
      <c r="T12" s="37">
        <f t="shared" si="5"/>
        <v>3089.6903586269732</v>
      </c>
      <c r="U12" s="142">
        <f>T12/(1+Real_Discount_Rate)^(Calculations!M12-'Assumed Values'!$C$5)</f>
        <v>1798.2279190077172</v>
      </c>
    </row>
    <row r="13" spans="1:21" ht="15.75" x14ac:dyDescent="0.25">
      <c r="A13" s="152" t="s">
        <v>74</v>
      </c>
      <c r="B13" s="156">
        <f>_2025_Peak_Period_Volume/_2025_Peak_Period_Capacity</f>
        <v>0.43044806091285615</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17560.016375569157</v>
      </c>
      <c r="O13" s="146">
        <f t="shared" si="7"/>
        <v>4.3315676210411436E-3</v>
      </c>
      <c r="P13" s="147">
        <f t="shared" si="8"/>
        <v>0.43418516695153336</v>
      </c>
      <c r="Q13" s="148">
        <f t="shared" si="4"/>
        <v>1</v>
      </c>
      <c r="R13" s="37">
        <f>IF(M13=Year_Open_to_Traffic?,Calculations!$J$5,Calculations!R12+(Calculations!R12*Calculations!O13*Q13))</f>
        <v>3103073.561343445</v>
      </c>
      <c r="S13" s="54">
        <f t="shared" si="0"/>
        <v>1</v>
      </c>
      <c r="T13" s="37">
        <f t="shared" si="5"/>
        <v>3103.0735613434449</v>
      </c>
      <c r="U13" s="142">
        <f>T13/(1+Real_Discount_Rate)^(Calculations!M13-'Assumed Values'!$C$5)</f>
        <v>1687.8664157354608</v>
      </c>
    </row>
    <row r="14" spans="1:21" ht="15.75" x14ac:dyDescent="0.25">
      <c r="A14" s="152" t="s">
        <v>148</v>
      </c>
      <c r="B14" s="156">
        <f>_2045_Peak_Period_Volume/_2045_Peak_Period_Capacity</f>
        <v>0.46931347529598794</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17636.078773926525</v>
      </c>
      <c r="O14" s="146">
        <f t="shared" si="7"/>
        <v>4.3315676210411436E-3</v>
      </c>
      <c r="P14" s="147">
        <f>P13*(1+IFERROR(_2025_2040_V_C_Growth,_2018_2045_V_C_Growth))</f>
        <v>0.43606586936223696</v>
      </c>
      <c r="Q14" s="148">
        <f t="shared" si="4"/>
        <v>1</v>
      </c>
      <c r="R14" s="37">
        <f>IF(M14=Year_Open_to_Traffic?,Calculations!$J$5,Calculations!R13+(Calculations!R13*Calculations!O14*Q14))</f>
        <v>3116514.7343074689</v>
      </c>
      <c r="S14" s="54">
        <f t="shared" si="0"/>
        <v>1</v>
      </c>
      <c r="T14" s="37">
        <f t="shared" si="5"/>
        <v>3116.5147343074686</v>
      </c>
      <c r="U14" s="142">
        <f>T14/(1+Real_Discount_Rate)^(Calculations!M14-'Assumed Values'!$C$5)</f>
        <v>1584.2780591126198</v>
      </c>
    </row>
    <row r="15" spans="1:21" ht="15.75" x14ac:dyDescent="0.25">
      <c r="A15" s="152" t="s">
        <v>80</v>
      </c>
      <c r="B15" s="153">
        <f>(B13/B12)^(1/(2025-2018))-1</f>
        <v>2.1425663612795187E-3</v>
      </c>
      <c r="L15" s="136"/>
      <c r="M15" s="144">
        <f>M14+1</f>
        <v>2029</v>
      </c>
      <c r="N15" s="145">
        <f t="shared" si="6"/>
        <v>17712.470641705797</v>
      </c>
      <c r="O15" s="146">
        <f t="shared" si="7"/>
        <v>4.3315676210411436E-3</v>
      </c>
      <c r="P15" s="147">
        <f>P14*(1+IFERROR(_2025_2040_V_C_Growth,_2018_2045_V_C_Growth))</f>
        <v>0.43795471816260756</v>
      </c>
      <c r="Q15" s="148">
        <f t="shared" si="4"/>
        <v>1</v>
      </c>
      <c r="R15" s="37">
        <f>IF(M15=Year_Open_to_Traffic?,Calculations!$J$5,Calculations!R14+(Calculations!R14*Calculations!O15*Q15))</f>
        <v>3130014.1286210925</v>
      </c>
      <c r="S15" s="54">
        <f t="shared" si="0"/>
        <v>1</v>
      </c>
      <c r="T15" s="37">
        <f t="shared" si="5"/>
        <v>3130.0141286210924</v>
      </c>
      <c r="U15" s="142">
        <f>T15/(1+Real_Discount_Rate)^(Calculations!M15-'Assumed Values'!$C$5)</f>
        <v>1487.0471650992502</v>
      </c>
    </row>
    <row r="16" spans="1:21" ht="15.75" x14ac:dyDescent="0.25">
      <c r="A16" s="152" t="s">
        <v>108</v>
      </c>
      <c r="B16" s="153">
        <f>(B14/B13)^(1/(2045-2025))-1</f>
        <v>4.3315676210411436E-3</v>
      </c>
      <c r="D16" s="157" t="s">
        <v>136</v>
      </c>
      <c r="E16" s="151"/>
      <c r="L16" s="136"/>
      <c r="M16" s="137">
        <f t="shared" si="1"/>
        <v>2030</v>
      </c>
      <c r="N16" s="145">
        <f t="shared" si="6"/>
        <v>17789.19340602605</v>
      </c>
      <c r="O16" s="146">
        <f t="shared" si="7"/>
        <v>4.3315676210411436E-3</v>
      </c>
      <c r="P16" s="147">
        <f t="shared" si="8"/>
        <v>0.43985174863928289</v>
      </c>
      <c r="Q16" s="148">
        <f t="shared" si="4"/>
        <v>1</v>
      </c>
      <c r="R16" s="37">
        <f>IF(M16=Year_Open_to_Traffic?,Calculations!$J$5,Calculations!R15+(Calculations!R15*Calculations!O16*Q16))</f>
        <v>3143571.996474029</v>
      </c>
      <c r="S16" s="54">
        <f t="shared" si="0"/>
        <v>1</v>
      </c>
      <c r="T16" s="37">
        <f t="shared" si="5"/>
        <v>3143.5719964740292</v>
      </c>
      <c r="U16" s="142">
        <f>T16/(1+Real_Discount_Rate)^(Calculations!M16-'Assumed Values'!$C$5)</f>
        <v>1395.7835611687435</v>
      </c>
    </row>
    <row r="17" spans="1:21" ht="15.75" x14ac:dyDescent="0.25">
      <c r="A17" s="152" t="s">
        <v>109</v>
      </c>
      <c r="B17" s="153">
        <f>(B14/B12)^(1/(2045-2018))-1</f>
        <v>3.7635900691583846E-3</v>
      </c>
      <c r="D17" s="152" t="s">
        <v>89</v>
      </c>
      <c r="E17" s="158">
        <f>($E$6*Death_Rate)/100000000</f>
        <v>0.13431708629292802</v>
      </c>
      <c r="L17" s="136"/>
      <c r="M17" s="144">
        <f t="shared" si="1"/>
        <v>2031</v>
      </c>
      <c r="N17" s="145">
        <f t="shared" si="6"/>
        <v>17866.24850018803</v>
      </c>
      <c r="O17" s="146">
        <f t="shared" si="7"/>
        <v>4.3315676210411436E-3</v>
      </c>
      <c r="P17" s="147">
        <f t="shared" si="8"/>
        <v>0.44175699623174713</v>
      </c>
      <c r="Q17" s="148">
        <f t="shared" si="4"/>
        <v>1</v>
      </c>
      <c r="R17" s="37">
        <f>IF(M17=Year_Open_to_Traffic?,Calculations!$J$5,Calculations!R16+(Calculations!R16*Calculations!O17*Q17))</f>
        <v>3157188.5911483676</v>
      </c>
      <c r="S17" s="54">
        <f t="shared" si="0"/>
        <v>1</v>
      </c>
      <c r="T17" s="37">
        <f t="shared" si="5"/>
        <v>3157.1885911483678</v>
      </c>
      <c r="U17" s="142">
        <f>T17/(1+Real_Discount_Rate)^(Calculations!M17-'Assumed Values'!$C$5)</f>
        <v>1310.1210206058724</v>
      </c>
    </row>
    <row r="18" spans="1:21" ht="15.75" x14ac:dyDescent="0.25">
      <c r="D18" s="152" t="s">
        <v>94</v>
      </c>
      <c r="E18" s="158">
        <f>($E$6*Incap_Injry_Rate)/100000000</f>
        <v>0.67895120716457502</v>
      </c>
      <c r="L18" s="136"/>
      <c r="M18" s="137">
        <f t="shared" si="1"/>
        <v>2032</v>
      </c>
      <c r="N18" s="145">
        <f t="shared" si="6"/>
        <v>17943.63736370092</v>
      </c>
      <c r="O18" s="146">
        <f t="shared" si="7"/>
        <v>4.3315676210411436E-3</v>
      </c>
      <c r="P18" s="147">
        <f t="shared" si="8"/>
        <v>0.44367049653299295</v>
      </c>
      <c r="Q18" s="148">
        <f t="shared" si="4"/>
        <v>1</v>
      </c>
      <c r="R18" s="37">
        <f>IF(M18=Year_Open_to_Traffic?,Calculations!$J$5,Calculations!R17+(Calculations!R17*Calculations!O18*Q18))</f>
        <v>3170864.1670233062</v>
      </c>
      <c r="S18" s="54">
        <f t="shared" si="0"/>
        <v>1</v>
      </c>
      <c r="T18" s="37">
        <f t="shared" si="5"/>
        <v>3170.8641670233064</v>
      </c>
      <c r="U18" s="142">
        <f>T18/(1+Real_Discount_Rate)^(Calculations!M18-'Assumed Values'!$C$5)</f>
        <v>1229.7157928956767</v>
      </c>
    </row>
    <row r="19" spans="1:21" ht="15.75" x14ac:dyDescent="0.25">
      <c r="D19" s="152" t="s">
        <v>93</v>
      </c>
      <c r="E19" s="158">
        <f>($E$6*Nonincap_Injry_Rate)/100000000</f>
        <v>3.8306366448896019</v>
      </c>
      <c r="L19" s="136"/>
      <c r="M19" s="144">
        <f t="shared" si="1"/>
        <v>2033</v>
      </c>
      <c r="N19" s="145">
        <f t="shared" si="6"/>
        <v>18021.361442309229</v>
      </c>
      <c r="O19" s="146">
        <f t="shared" si="7"/>
        <v>4.3315676210411436E-3</v>
      </c>
      <c r="P19" s="147">
        <f t="shared" si="8"/>
        <v>0.44559228529018652</v>
      </c>
      <c r="Q19" s="148">
        <f t="shared" si="4"/>
        <v>1</v>
      </c>
      <c r="R19" s="37">
        <f>IF(M19=Year_Open_to_Traffic?,Calculations!$J$5,Calculations!R18+(Calculations!R18*Calculations!O19*Q19))</f>
        <v>3184598.9795799041</v>
      </c>
      <c r="S19" s="54">
        <f t="shared" si="0"/>
        <v>1</v>
      </c>
      <c r="T19" s="37">
        <f t="shared" si="5"/>
        <v>3184.5989795799042</v>
      </c>
      <c r="U19" s="142">
        <f>T19/(1+Real_Discount_Rate)^(Calculations!M19-'Assumed Values'!$C$5)</f>
        <v>1154.2452243058565</v>
      </c>
    </row>
    <row r="20" spans="1:21" ht="15.75" x14ac:dyDescent="0.25">
      <c r="D20" s="152" t="s">
        <v>92</v>
      </c>
      <c r="E20" s="158">
        <f>($E$6*Poss_Injry_Rate/100000000)</f>
        <v>9.5629432631329507</v>
      </c>
      <c r="L20" s="136"/>
      <c r="M20" s="137">
        <f t="shared" si="1"/>
        <v>2034</v>
      </c>
      <c r="N20" s="145">
        <f t="shared" si="6"/>
        <v>18099.422188019817</v>
      </c>
      <c r="O20" s="146">
        <f t="shared" si="7"/>
        <v>4.3315676210411436E-3</v>
      </c>
      <c r="P20" s="147">
        <f t="shared" si="8"/>
        <v>0.4475223984053352</v>
      </c>
      <c r="Q20" s="148">
        <f t="shared" si="4"/>
        <v>1</v>
      </c>
      <c r="R20" s="37">
        <f>IF(M20=Year_Open_to_Traffic?,Calculations!$J$5,Calculations!R19+(Calculations!R19*Calculations!O20*Q20))</f>
        <v>3198393.2854058533</v>
      </c>
      <c r="S20" s="54">
        <f t="shared" si="0"/>
        <v>1</v>
      </c>
      <c r="T20" s="37">
        <f t="shared" si="5"/>
        <v>3198.3932854058535</v>
      </c>
      <c r="U20" s="142">
        <f>T20/(1+Real_Discount_Rate)^(Calculations!M20-'Assumed Values'!$C$5)</f>
        <v>1083.4064631272911</v>
      </c>
    </row>
    <row r="21" spans="1:21" ht="15.75" x14ac:dyDescent="0.25">
      <c r="D21" s="152" t="s">
        <v>91</v>
      </c>
      <c r="E21" s="158">
        <f>($E$6*Non_Injry_Rate)/100000000</f>
        <v>74.150830690319737</v>
      </c>
      <c r="L21" s="136"/>
      <c r="M21" s="144">
        <f>M20+1</f>
        <v>2035</v>
      </c>
      <c r="N21" s="145">
        <f t="shared" si="6"/>
        <v>18177.821059128997</v>
      </c>
      <c r="O21" s="146">
        <f t="shared" si="7"/>
        <v>4.3315676210411436E-3</v>
      </c>
      <c r="P21" s="147">
        <f>P20*(1+IFERROR(_2025_2040_V_C_Growth,_2018_2045_V_C_Growth))</f>
        <v>0.44946087193595841</v>
      </c>
      <c r="Q21" s="148">
        <f t="shared" si="4"/>
        <v>1</v>
      </c>
      <c r="R21" s="37">
        <f>IF(M21=Year_Open_to_Traffic?,Calculations!$J$5,Calculations!R20+(Calculations!R20*Calculations!O21*Q21))</f>
        <v>3212247.3422002727</v>
      </c>
      <c r="S21" s="54">
        <f t="shared" si="0"/>
        <v>1</v>
      </c>
      <c r="T21" s="37">
        <f t="shared" si="5"/>
        <v>3212.2473422002727</v>
      </c>
      <c r="U21" s="142">
        <f>T21/(1+Real_Discount_Rate)^(Calculations!M21-'Assumed Values'!$C$5)</f>
        <v>1016.9152443770092</v>
      </c>
    </row>
    <row r="22" spans="1:21" ht="15.75" x14ac:dyDescent="0.25">
      <c r="D22" s="152" t="s">
        <v>90</v>
      </c>
      <c r="E22" s="158">
        <f>($E$6*Unkn_Injry_Rate)/100000000</f>
        <v>6.4342217143547789</v>
      </c>
      <c r="L22" s="136"/>
      <c r="M22" s="137">
        <f>M21+1</f>
        <v>2036</v>
      </c>
      <c r="N22" s="145">
        <f t="shared" si="6"/>
        <v>18256.559520249801</v>
      </c>
      <c r="O22" s="146">
        <f t="shared" si="7"/>
        <v>4.3315676210411436E-3</v>
      </c>
      <c r="P22" s="147">
        <f t="shared" si="8"/>
        <v>0.45140774209576112</v>
      </c>
      <c r="Q22" s="148">
        <f t="shared" si="4"/>
        <v>1</v>
      </c>
      <c r="R22" s="37">
        <f>IF(M22=Year_Open_to_Traffic?,Calculations!$J$5,Calculations!R21+(Calculations!R21*Calculations!O22*Q22))</f>
        <v>3226161.4087785231</v>
      </c>
      <c r="S22" s="54">
        <f t="shared" si="0"/>
        <v>1</v>
      </c>
      <c r="T22" s="37">
        <f t="shared" si="5"/>
        <v>3226.1614087785233</v>
      </c>
      <c r="U22" s="142">
        <f>T22/(1+Real_Discount_Rate)^(Calculations!M22-'Assumed Values'!$C$5)</f>
        <v>954.50474908681861</v>
      </c>
    </row>
    <row r="23" spans="1:21" ht="15.75" x14ac:dyDescent="0.25">
      <c r="L23" s="136"/>
      <c r="M23" s="144">
        <f t="shared" si="1"/>
        <v>2037</v>
      </c>
      <c r="N23" s="145">
        <f t="shared" si="6"/>
        <v>18335.639042339324</v>
      </c>
      <c r="O23" s="146">
        <f t="shared" si="7"/>
        <v>4.3315676210411436E-3</v>
      </c>
      <c r="P23" s="147">
        <f t="shared" si="8"/>
        <v>0.4533630452553104</v>
      </c>
      <c r="Q23" s="148">
        <f t="shared" si="4"/>
        <v>1</v>
      </c>
      <c r="R23" s="37">
        <f>IF(M23=Year_Open_to_Traffic?,Calculations!$J$5,Calculations!R22+(Calculations!R22*Calculations!O23*Q23))</f>
        <v>3240135.7450770405</v>
      </c>
      <c r="S23" s="54">
        <f t="shared" si="0"/>
        <v>1</v>
      </c>
      <c r="T23" s="37">
        <f t="shared" si="5"/>
        <v>3240.1357450770406</v>
      </c>
      <c r="U23" s="142">
        <f>T23/(1+Real_Discount_Rate)^(Calculations!M23-'Assumed Values'!$C$5)</f>
        <v>895.92453360008687</v>
      </c>
    </row>
    <row r="24" spans="1:21" ht="15.75" x14ac:dyDescent="0.25">
      <c r="L24" s="136"/>
      <c r="M24" s="137">
        <f t="shared" si="1"/>
        <v>2038</v>
      </c>
      <c r="N24" s="145">
        <f t="shared" si="6"/>
        <v>18415.06110272622</v>
      </c>
      <c r="O24" s="146">
        <f t="shared" si="7"/>
        <v>4.3315676210411436E-3</v>
      </c>
      <c r="P24" s="147">
        <f t="shared" si="8"/>
        <v>0.4553268179427149</v>
      </c>
      <c r="Q24" s="148">
        <f t="shared" si="4"/>
        <v>1</v>
      </c>
      <c r="R24" s="37">
        <f>IF(M24=Year_Open_to_Traffic?,Calculations!$J$5,Calculations!R23+(Calculations!R23*Calculations!O24*Q24))</f>
        <v>3254170.6121581942</v>
      </c>
      <c r="S24" s="54">
        <f t="shared" si="0"/>
        <v>1</v>
      </c>
      <c r="T24" s="37">
        <f t="shared" si="5"/>
        <v>3254.1706121581942</v>
      </c>
      <c r="U24" s="142">
        <f>T24/(1+Real_Discount_Rate)^(Calculations!M24-'Assumed Values'!$C$5)</f>
        <v>840.93952458011722</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18494.827185138285</v>
      </c>
      <c r="O25" s="146">
        <f t="shared" si="7"/>
        <v>4.3315676210411436E-3</v>
      </c>
      <c r="P25" s="147">
        <f t="shared" si="8"/>
        <v>0.45729909684430725</v>
      </c>
      <c r="Q25" s="148">
        <f t="shared" si="4"/>
        <v>1</v>
      </c>
      <c r="R25" s="37">
        <f>IF(M25=Year_Open_to_Traffic?,Calculations!$J$5,Calculations!R24+(Calculations!R24*Calculations!O25*Q25))</f>
        <v>3268266.2722151624</v>
      </c>
      <c r="S25" s="54">
        <f t="shared" si="0"/>
        <v>1</v>
      </c>
      <c r="T25" s="37">
        <f t="shared" si="5"/>
        <v>3268.2662722151622</v>
      </c>
      <c r="U25" s="142">
        <f>T25/(1+Real_Discount_Rate)^(Calculations!M25-'Assumed Values'!$C$5)</f>
        <v>789.32907569723557</v>
      </c>
    </row>
    <row r="26" spans="1:21" ht="15.75" x14ac:dyDescent="0.25">
      <c r="A26" s="181"/>
      <c r="B26" s="181"/>
      <c r="D26" s="160">
        <f>Calculations!E17</f>
        <v>0.13431708629292802</v>
      </c>
      <c r="E26" s="160">
        <f>Calculations!E18</f>
        <v>0.67895120716457502</v>
      </c>
      <c r="F26" s="160">
        <f>Calculations!E19</f>
        <v>3.8306366448896019</v>
      </c>
      <c r="G26" s="160">
        <f>Calculations!E20</f>
        <v>9.5629432631329507</v>
      </c>
      <c r="H26" s="160">
        <f>Calculations!E21</f>
        <v>74.150830690319737</v>
      </c>
      <c r="I26" s="160">
        <f>Calculations!E22</f>
        <v>6.4342217143547789</v>
      </c>
      <c r="J26" s="182"/>
      <c r="L26" s="136"/>
      <c r="M26" s="137">
        <f t="shared" si="1"/>
        <v>2040</v>
      </c>
      <c r="N26" s="145">
        <f t="shared" si="6"/>
        <v>18574.938779730182</v>
      </c>
      <c r="O26" s="146">
        <f t="shared" si="7"/>
        <v>4.3315676210411436E-3</v>
      </c>
      <c r="P26" s="147">
        <f t="shared" si="8"/>
        <v>0.45927991880532942</v>
      </c>
      <c r="Q26" s="148">
        <f t="shared" si="4"/>
        <v>1</v>
      </c>
      <c r="R26" s="37">
        <f>IF(M26=Year_Open_to_Traffic?,Calculations!$J$5,Calculations!R25+(Calculations!R25*Calculations!O26*Q26))</f>
        <v>3282422.9885768304</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1.750166474268483E-2</v>
      </c>
      <c r="F27" s="163">
        <f>F$26*'Value of Statistical Life'!F17*Appropriate_Crash_Reduction_Factor</f>
        <v>0.23980743056170128</v>
      </c>
      <c r="G27" s="163">
        <f>G$26*'Value of Statistical Life'!G17*Appropriate_Crash_Reduction_Factor</f>
        <v>1.6809502594353523</v>
      </c>
      <c r="H27" s="163">
        <f>H$26*'Value of Statistical Life'!H17*Appropriate_Crash_Reduction_Factor</f>
        <v>51.46104725323535</v>
      </c>
      <c r="I27" s="163">
        <f>I$26*'Value of Statistical Life'!I17*Appropriate_Crash_Reduction_Factor</f>
        <v>2.107658006971195</v>
      </c>
      <c r="J27" s="163">
        <f t="shared" ref="J27:J33" si="9">SUM(D27:I27)</f>
        <v>55.506964614946284</v>
      </c>
      <c r="K27" s="164"/>
      <c r="L27" s="136"/>
      <c r="M27" s="144">
        <f t="shared" si="1"/>
        <v>2041</v>
      </c>
      <c r="N27" s="145">
        <f t="shared" si="6"/>
        <v>18655.397383111282</v>
      </c>
      <c r="O27" s="146">
        <f t="shared" si="7"/>
        <v>4.3315676210411436E-3</v>
      </c>
      <c r="P27" s="147">
        <f t="shared" si="8"/>
        <v>0.461269320830621</v>
      </c>
      <c r="Q27" s="148">
        <f t="shared" si="4"/>
        <v>1</v>
      </c>
      <c r="R27" s="37">
        <f>IF(M27=Year_Open_to_Traffic?,Calculations!$J$5,Calculations!R26+(Calculations!R26*Calculations!O27*Q27))</f>
        <v>3296641.0257127108</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0.28235374114551393</v>
      </c>
      <c r="F28" s="163">
        <f>F$26*'Value of Statistical Life'!F18*Appropriate_Crash_Reduction_Factor</f>
        <v>2.2076820877743875</v>
      </c>
      <c r="G28" s="163">
        <f>G$26*'Value of Statistical Life'!G18*Appropriate_Crash_Reduction_Factor</f>
        <v>4.9449501466497328</v>
      </c>
      <c r="H28" s="163">
        <f>H$26*'Value of Statistical Life'!H18*Appropriate_Crash_Reduction_Factor</f>
        <v>4.0358443373973776</v>
      </c>
      <c r="I28" s="163">
        <f>I$26*'Value of Statistical Life'!I18*Appropriate_Crash_Reduction_Factor</f>
        <v>2.0141848510159059</v>
      </c>
      <c r="J28" s="163">
        <f t="shared" si="9"/>
        <v>13.485015163982919</v>
      </c>
      <c r="K28" s="164"/>
      <c r="L28" s="136"/>
      <c r="M28" s="137">
        <f t="shared" si="1"/>
        <v>2042</v>
      </c>
      <c r="N28" s="145">
        <f t="shared" si="6"/>
        <v>18736.204498373623</v>
      </c>
      <c r="O28" s="146">
        <f t="shared" si="7"/>
        <v>4.3315676210411436E-3</v>
      </c>
      <c r="P28" s="147">
        <f t="shared" si="8"/>
        <v>0.46326734008531056</v>
      </c>
      <c r="Q28" s="148">
        <f t="shared" si="4"/>
        <v>1</v>
      </c>
      <c r="R28" s="37">
        <f>IF(M28=Year_Open_to_Traffic?,Calculations!$J$5,Calculations!R27+(Calculations!R27*Calculations!O28*Q28))</f>
        <v>3310920.6492378837</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0.10646633879547701</v>
      </c>
      <c r="F29" s="163">
        <f>F$26*'Value of Statistical Life'!F19*Appropriate_Crash_Reduction_Factor</f>
        <v>0.31309708617005161</v>
      </c>
      <c r="G29" s="163">
        <f>G$26*'Value of Statistical Life'!G19*Appropriate_Crash_Reduction_Factor</f>
        <v>0.45837577796012013</v>
      </c>
      <c r="H29" s="163">
        <f>H$26*'Value of Statistical Life'!H19*Appropriate_Crash_Reduction_Factor</f>
        <v>0.11011398357512481</v>
      </c>
      <c r="I29" s="163">
        <f>I$26*'Value of Statistical Life'!I19*Appropriate_Crash_Reduction_Factor</f>
        <v>0.42813311287316702</v>
      </c>
      <c r="J29" s="163">
        <f t="shared" si="9"/>
        <v>1.4161862993739405</v>
      </c>
      <c r="K29" s="164"/>
      <c r="L29" s="136"/>
      <c r="M29" s="144">
        <f t="shared" si="1"/>
        <v>2043</v>
      </c>
      <c r="N29" s="145">
        <f t="shared" si="6"/>
        <v>18817.361635119985</v>
      </c>
      <c r="O29" s="146">
        <f t="shared" si="7"/>
        <v>4.3315676210411436E-3</v>
      </c>
      <c r="P29" s="147">
        <f t="shared" si="8"/>
        <v>0.46527401389550993</v>
      </c>
      <c r="Q29" s="148">
        <f t="shared" si="4"/>
        <v>1</v>
      </c>
      <c r="R29" s="37">
        <f>IF(M29=Year_Open_to_Traffic?,Calculations!$J$5,Calculations!R28+(Calculations!R28*Calculations!O29*Q29))</f>
        <v>3325262.125917959</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7.3515139333762275E-2</v>
      </c>
      <c r="F30" s="163">
        <f>F$26*'Value of Statistical Life'!F20*Appropriate_Crash_Reduction_Factor</f>
        <v>9.1676711503820396E-2</v>
      </c>
      <c r="G30" s="163">
        <f>G$26*'Value of Statistical Life'!G20*Appropriate_Crash_Reduction_Factor</f>
        <v>7.6814341761115429E-2</v>
      </c>
      <c r="H30" s="163">
        <f>H$26*'Value of Statistical Life'!H20*Appropriate_Crash_Reduction_Factor</f>
        <v>4.4490498414191844E-3</v>
      </c>
      <c r="I30" s="163">
        <f>I$26*'Value of Statistical Life'!I20*Appropriate_Crash_Reduction_Factor</f>
        <v>0.23245234498535228</v>
      </c>
      <c r="J30" s="163">
        <f t="shared" si="9"/>
        <v>0.47890758742546957</v>
      </c>
      <c r="K30" s="164"/>
      <c r="L30" s="136"/>
      <c r="M30" s="144">
        <f t="shared" si="1"/>
        <v>2044</v>
      </c>
      <c r="N30" s="145">
        <f t="shared" si="6"/>
        <v>18898.870309492093</v>
      </c>
      <c r="O30" s="146">
        <f t="shared" si="7"/>
        <v>4.3315676210411436E-3</v>
      </c>
      <c r="P30" s="147">
        <f t="shared" si="8"/>
        <v>0.46728937974901158</v>
      </c>
      <c r="Q30" s="148">
        <f t="shared" si="4"/>
        <v>1</v>
      </c>
      <c r="R30" s="37">
        <f>IF(M30=Year_Open_to_Traffic?,Calculations!$J$5,Calculations!R29+(Calculations!R29*Calculations!O30*Q30))</f>
        <v>3339665.7236740598</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2.0297246338184971E-2</v>
      </c>
      <c r="F31" s="163">
        <f>F$26*'Value of Statistical Life'!F21*Appropriate_Crash_Reduction_Factor</f>
        <v>1.781246039873665E-2</v>
      </c>
      <c r="G31" s="163">
        <f>G$26*'Value of Statistical Life'!G21*Appropriate_Crash_Reduction_Factor</f>
        <v>1.0184534575236593E-2</v>
      </c>
      <c r="H31" s="163">
        <f>H$26*'Value of Statistical Life'!H21*Appropriate_Crash_Reduction_Factor</f>
        <v>0</v>
      </c>
      <c r="I31" s="163">
        <f>I$26*'Value of Statistical Life'!I21*Appropriate_Crash_Reduction_Factor</f>
        <v>2.9774360983176741E-2</v>
      </c>
      <c r="J31" s="163">
        <f t="shared" si="9"/>
        <v>7.8068602295334966E-2</v>
      </c>
      <c r="K31" s="164"/>
      <c r="L31" s="136"/>
      <c r="M31" s="144">
        <f t="shared" si="1"/>
        <v>2045</v>
      </c>
      <c r="N31" s="145">
        <f t="shared" si="6"/>
        <v>18980.732044198943</v>
      </c>
      <c r="O31" s="146">
        <f t="shared" si="7"/>
        <v>4.3315676210411436E-3</v>
      </c>
      <c r="P31" s="147">
        <f t="shared" si="8"/>
        <v>0.46931347529598882</v>
      </c>
      <c r="Q31" s="148">
        <f t="shared" si="4"/>
        <v>1</v>
      </c>
      <c r="R31" s="37">
        <f>IF(M31=Year_Open_to_Traffic?,Calculations!$J$5,Calculations!R30+(Calculations!R30*Calculations!O31*Q31))</f>
        <v>3354131.7115878272</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9.0792750178082787E-3</v>
      </c>
      <c r="F32" s="163">
        <f>F$26*'Value of Statistical Life'!F22*Appropriate_Crash_Reduction_Factor</f>
        <v>2.9017072585038736E-3</v>
      </c>
      <c r="G32" s="163">
        <f>G$26*'Value of Statistical Life'!G22*Appropriate_Crash_Reduction_Factor</f>
        <v>9.3238696815546259E-4</v>
      </c>
      <c r="H32" s="163">
        <f>H$26*'Value of Statistical Life'!H22*Appropriate_Crash_Reduction_Factor</f>
        <v>1.6683936905321941E-3</v>
      </c>
      <c r="I32" s="163">
        <f>I$26*'Value of Statistical Life'!I22*Appropriate_Crash_Reduction_Factor</f>
        <v>1.3463608937287375E-2</v>
      </c>
      <c r="J32" s="163">
        <f t="shared" si="9"/>
        <v>2.8045371872287183E-2</v>
      </c>
      <c r="K32" s="164"/>
      <c r="L32" s="136"/>
      <c r="M32" s="144">
        <f t="shared" si="1"/>
        <v>2046</v>
      </c>
      <c r="N32" s="145">
        <f t="shared" si="6"/>
        <v>19062.948368545254</v>
      </c>
      <c r="O32" s="146">
        <f t="shared" si="7"/>
        <v>4.3315676210411436E-3</v>
      </c>
      <c r="P32" s="147">
        <f t="shared" si="8"/>
        <v>0.47134633834969925</v>
      </c>
      <c r="Q32" s="148">
        <f t="shared" si="4"/>
        <v>1</v>
      </c>
      <c r="R32" s="37">
        <f>IF(M32=Year_Open_to_Traffic?,Calculations!$J$5,Calculations!R31+(Calculations!R31*Calculations!O32*Q32))</f>
        <v>3368660.3599064485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0.10073781471969601</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0.10073781471969601</v>
      </c>
      <c r="K33" s="164"/>
      <c r="L33" s="136"/>
      <c r="M33" s="144">
        <f t="shared" si="1"/>
        <v>2047</v>
      </c>
      <c r="N33" s="145">
        <f t="shared" si="6"/>
        <v>19145.520818460023</v>
      </c>
      <c r="O33" s="146">
        <f t="shared" si="7"/>
        <v>4.3315676210411436E-3</v>
      </c>
      <c r="P33" s="147">
        <f t="shared" si="8"/>
        <v>0.47338800688719113</v>
      </c>
      <c r="Q33" s="148">
        <f t="shared" si="4"/>
        <v>1</v>
      </c>
      <c r="R33" s="37">
        <f>IF(M33=Year_Open_to_Traffic?,Calculations!$J$5,Calculations!R32+(Calculations!R32*Calculations!O33*Q33))</f>
        <v>3383251.9400477041</v>
      </c>
      <c r="S33" s="54">
        <f t="shared" si="0"/>
        <v>0</v>
      </c>
      <c r="T33" s="37">
        <f t="shared" si="5"/>
        <v>0</v>
      </c>
      <c r="U33" s="142">
        <f>T33/(1+Real_Discount_Rate)^(Calculations!M33-'Assumed Values'!$C$5)</f>
        <v>0</v>
      </c>
    </row>
    <row r="34" spans="1:21" ht="15.75" x14ac:dyDescent="0.25">
      <c r="J34" s="166"/>
      <c r="L34" s="136"/>
      <c r="M34" s="144">
        <f t="shared" si="1"/>
        <v>2048</v>
      </c>
      <c r="N34" s="145">
        <f t="shared" si="6"/>
        <v>19228.450936525234</v>
      </c>
      <c r="O34" s="146">
        <f t="shared" si="7"/>
        <v>4.3315676210411436E-3</v>
      </c>
      <c r="P34" s="147">
        <f t="shared" si="8"/>
        <v>0.47543851905001289</v>
      </c>
      <c r="Q34" s="148">
        <f t="shared" si="4"/>
        <v>1</v>
      </c>
      <c r="R34" s="37">
        <f>IF(M34=Year_Open_to_Traffic?,Calculations!$J$5,Calculations!R33+(Calculations!R33*Calculations!O34*Q34))</f>
        <v>3397906.7246050392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19311.740272004667</v>
      </c>
      <c r="O35" s="146">
        <f t="shared" si="7"/>
        <v>4.3315676210411436E-3</v>
      </c>
      <c r="P35" s="147">
        <f t="shared" si="8"/>
        <v>0.47749791314492568</v>
      </c>
      <c r="Q35" s="148">
        <f t="shared" si="4"/>
        <v>1</v>
      </c>
      <c r="R35" s="37">
        <f>IF(M35=Year_Open_to_Traffic?,Calculations!$J$5,Calculations!R34+(Calculations!R34*Calculations!O35*Q35))</f>
        <v>3412624.9873526562</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19395.390380872839</v>
      </c>
      <c r="O36" s="146">
        <f t="shared" si="7"/>
        <v>4.3315676210411436E-3</v>
      </c>
      <c r="P36" s="147">
        <f t="shared" si="8"/>
        <v>0.47956622764461898</v>
      </c>
      <c r="Q36" s="148">
        <f t="shared" si="4"/>
        <v>1</v>
      </c>
      <c r="R36" s="37">
        <f>IF(M36=Year_Open_to_Traffic?,Calculations!$J$5,Calculations!R35+(Calculations!R35*Calculations!O36*Q36))</f>
        <v>3427407.0032506287</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19144.110180958127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2018-10-25T19:23:01Z</cp:lastPrinted>
  <dcterms:created xsi:type="dcterms:W3CDTF">2012-07-25T15:48:32Z</dcterms:created>
  <dcterms:modified xsi:type="dcterms:W3CDTF">2018-10-25T19:23:04Z</dcterms:modified>
</cp:coreProperties>
</file>