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2_HW_IH10/"/>
    </mc:Choice>
  </mc:AlternateContent>
  <xr:revisionPtr revIDLastSave="18" documentId="8_{09233DB8-2694-4A7A-ACD0-1AD009B55BC7}" xr6:coauthVersionLast="40" xr6:coauthVersionMax="40" xr10:uidLastSave="{732771AB-A25A-4398-B0C0-BB56C0E3B2BB}"/>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<sst xmlns="http://schemas.openxmlformats.org/spreadsheetml/2006/main" count="292" uniqueCount="238">
  <si>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</si>
  <si>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</si>
  <si>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</si>
  <si>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</si>
  <si>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</si>
  <si>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</si>
  <si>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</si>
  <si>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</si>
  <si>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</si>
  <si>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</si>
  <si>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</si>
  <si>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</si>
  <si>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</si>
  <si>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</si>
  <si>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</si>
  <si>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</si>
  <si>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</si>
  <si>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</si>
  <si>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</si>
  <si>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</si>
  <si>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</si>
  <si>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</si>
  <si>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</si>
  <si>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</si>
  <si>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</si>
  <si>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</si>
  <si>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</si>
  <si>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</si>
  <si>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</si>
  <si>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</si>
  <si>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</si>
  <si>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</si>
  <si>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</si>
  <si>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</si>
  <si>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</si>
  <si>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</si>
  <si>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</si>
  <si>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</si>
  <si>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</si>
  <si>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</si>
  <si>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</si>
  <si>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</si>
  <si>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</si>
  <si>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</si>
  <si>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</si>
  <si>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</si>
  <si>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</si>
  <si>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</si>
  <si>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</si>
  <si>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IH 10 Baytown Ramp Reversal</t>
  </si>
  <si>
    <t>Data entered by the sponsors</t>
  </si>
  <si>
    <t>County</t>
  </si>
  <si>
    <t>Harris</t>
  </si>
  <si>
    <t>HGAC regional travel demand model data provided by HGAC</t>
  </si>
  <si>
    <t>Facility Type</t>
  </si>
  <si>
    <t>Freeway</t>
  </si>
  <si>
    <t>Data populated/calculated based on inputs</t>
  </si>
  <si>
    <t>Street Name:</t>
  </si>
  <si>
    <t>IH 10</t>
  </si>
  <si>
    <t>Benefits calculated by the template</t>
  </si>
  <si>
    <t>Limits (From)</t>
  </si>
  <si>
    <t>John Martin Rd.</t>
  </si>
  <si>
    <t>Limits (To)</t>
  </si>
  <si>
    <t>Garth Rd.</t>
  </si>
  <si>
    <t>Length (in Miles)</t>
  </si>
  <si>
    <t>Application ID Number:</t>
  </si>
  <si>
    <t>Sponsor ID Number (CSJ, etc.):</t>
  </si>
  <si>
    <t>0508-01-359</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</si>
  <si>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</si>
  <si>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</si>
  <si>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</si>
  <si>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</si>
  <si>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</si>
  <si>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Ramp Configuration</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</si>
  <si>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</si>
  <si>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</si>
  <si>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</si>
  <si>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</si>
  <si>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</si>
  <si>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</si>
  <si>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</si>
  <si>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</si>
  <si>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</si>
  <si>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</si>
  <si>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</si>
  <si>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</si>
  <si>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</si>
  <si>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</si>
  <si>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</si>
  <si>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</si>
  <si>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</si>
  <si>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</si>
  <si>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</si>
  <si>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</si>
  <si>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</si>
  <si>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</si>
  <si>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</si>
  <si>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</si>
  <si>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</si>
  <si>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</si>
  <si>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</si>
  <si>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</si>
  <si>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</si>
  <si>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</si>
  <si>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</si>
  <si>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</si>
  <si>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</si>
  <si>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</si>
  <si>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</si>
  <si>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</si>
  <si>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</si>
  <si>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</si>
  <si>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</si>
  <si>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</si>
  <si>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</si>
  <si>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</si>
  <si>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</si>
  <si>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</si>
  <si>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</si>
  <si>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</si>
  <si>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</si>
  <si>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</si>
  <si>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</si>
  <si>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</si>
  <si>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Non Freeway</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</si>
  <si>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</si>
  <si>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</si>
  <si>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</si>
  <si>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</si>
  <si>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</si>
  <si>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</si>
  <si>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</si>
  <si>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</si>
  <si>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</si>
  <si>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</si>
  <si>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</si>
  <si>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</si>
  <si>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</si>
  <si>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</si>
  <si>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</si>
  <si>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</si>
  <si>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</si>
  <si>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</si>
  <si>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</si>
  <si>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</si>
  <si>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</si>
  <si>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</si>
  <si>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</si>
  <si>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</si>
  <si>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</si>
  <si>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</si>
  <si>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</si>
  <si>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</si>
  <si>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</si>
  <si>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</si>
  <si>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</si>
  <si>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</si>
  <si>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</si>
  <si>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</si>
  <si>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</si>
  <si>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</si>
  <si>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</si>
  <si>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</si>
  <si>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</si>
  <si>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</si>
  <si>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 xml:space="preserve">Managed HOT/HOV Lanes </t>
  </si>
  <si>
    <t>Liberty</t>
  </si>
  <si>
    <t xml:space="preserve">Adding New Lanes or Roads </t>
  </si>
  <si>
    <t>Montgomery</t>
  </si>
  <si>
    <t>Adding New Toll Roads</t>
  </si>
  <si>
    <t>Waller</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</si>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</sst>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0" zoomScale="115" zoomScaleNormal="115" workbookViewId="0" xr3:uid="{51F8DEE0-4D01-5F28-A812-FC0BD7CAC4A5}">
      <selection activeCell="B34" sqref="B34"/>
    </sheetView>
  </sheetViews>
  <sheetFormatPr defaultColWidth="9.140625" defaultRowHeight="14.4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
      <c r="A3" s="96" t="s">
        <v>46</v>
      </c>
      <c r="B3" s="94"/>
      <c r="C3" s="94"/>
      <c r="D3" s="94"/>
      <c r="E3" s="94"/>
    </row>
    <row r="4" spans="1:7">
      <c r="F4" s="97"/>
      <c r="G4" s="97"/>
    </row>
    <row r="5" spans="1:7">
      <c r="A5" s="98" t="s">
        <v>47</v>
      </c>
    </row>
    <row r="6" spans="1:7" ht="28.9">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0.99</v>
      </c>
    </row>
    <row r="13" spans="1:7">
      <c r="A13" s="7" t="s">
        <v>65</v>
      </c>
      <c r="B13" s="116"/>
      <c r="F13" s="99"/>
    </row>
    <row r="14" spans="1:7">
      <c r="A14" s="7" t="s">
        <v>66</v>
      </c>
      <c r="B14" s="116" t="s">
        <v>67</v>
      </c>
    </row>
    <row r="17" spans="1:7">
      <c r="A17" s="98" t="s">
        <v>68</v>
      </c>
      <c r="E17" s="130" t="s">
        <v>69</v>
      </c>
      <c r="F17" s="131"/>
    </row>
    <row r="18" spans="1:7">
      <c r="A18" s="7" t="s">
        <v>70</v>
      </c>
      <c r="B18" s="117">
        <v>2022</v>
      </c>
      <c r="E18" s="87" t="s">
        <v>71</v>
      </c>
      <c r="F18" s="122">
        <f>$B$12/$B$32</f>
        <v>1.6500000000000001E-2</v>
      </c>
    </row>
    <row r="19" spans="1:7" ht="28.9">
      <c r="A19" s="7" t="s">
        <v>72</v>
      </c>
      <c r="B19" s="118" t="s">
        <v>73</v>
      </c>
      <c r="E19" s="89" t="s">
        <v>74</v>
      </c>
      <c r="F19" s="123">
        <f>$B$12/$B$33</f>
        <v>3.3000000000000002E-2</v>
      </c>
    </row>
    <row r="20" spans="1:7" ht="28.9">
      <c r="A20" s="113" t="s">
        <v>75</v>
      </c>
      <c r="B20" s="114">
        <f>VLOOKUP(B19,'Delay Reduction Factors'!B4:C80,2, FALSE)</f>
        <v>0.2</v>
      </c>
      <c r="E20" s="89" t="s">
        <v>76</v>
      </c>
      <c r="F20" s="122">
        <f>$F$19-$F$18</f>
        <v>1.6500000000000001E-2</v>
      </c>
    </row>
    <row r="21" spans="1:7">
      <c r="A21" s="7" t="s">
        <v>77</v>
      </c>
      <c r="B21" s="63">
        <v>20</v>
      </c>
      <c r="D21" s="100"/>
      <c r="E21" s="87" t="s">
        <v>78</v>
      </c>
      <c r="F21" s="122">
        <f>$F$20*$B$20</f>
        <v>3.3000000000000004E-3</v>
      </c>
      <c r="G21" s="101"/>
    </row>
    <row r="22" spans="1:7">
      <c r="D22" s="100"/>
      <c r="E22" s="87" t="s">
        <v>79</v>
      </c>
      <c r="F22" s="122">
        <f>$F$20-$F$21</f>
        <v>1.32E-2</v>
      </c>
      <c r="G22" s="101"/>
    </row>
    <row r="23" spans="1:7">
      <c r="E23" s="87" t="s">
        <v>80</v>
      </c>
      <c r="F23" s="122">
        <f>$F$18+$F$22</f>
        <v>2.9700000000000001E-2</v>
      </c>
    </row>
    <row r="24" spans="1:7">
      <c r="A24" s="98" t="s">
        <v>81</v>
      </c>
      <c r="B24" s="102"/>
      <c r="D24" s="100"/>
    </row>
    <row r="25" spans="1:7">
      <c r="A25" s="7" t="s">
        <v>82</v>
      </c>
      <c r="B25" s="126">
        <v>41852</v>
      </c>
      <c r="D25" s="100"/>
    </row>
    <row r="28" spans="1:7">
      <c r="A28" s="87" t="s">
        <v>83</v>
      </c>
      <c r="B28" s="112">
        <f>IF(FacilityType='Delay Reduction Factors'!N5,'Inputs &amp; Outputs'!B25*45%, B25*43%)</f>
        <v>18833.400000000001</v>
      </c>
      <c r="D28" s="100"/>
      <c r="E28" s="103" t="s">
        <v>84</v>
      </c>
      <c r="F28" s="104" t="s">
        <v>2</v>
      </c>
      <c r="G28" s="105" t="s">
        <v>85</v>
      </c>
    </row>
    <row r="29" spans="1:7">
      <c r="A29" s="87" t="s">
        <v>86</v>
      </c>
      <c r="B29" s="95">
        <f>VLOOKUP(Year_Open_to_Traffic?,Calculations!H4:I36,2)</f>
        <v>20928.286551841706</v>
      </c>
      <c r="D29" s="100"/>
      <c r="E29" s="89" t="s">
        <v>87</v>
      </c>
      <c r="F29" s="83">
        <f>$B$29*$F$23</f>
        <v>621.57011058969863</v>
      </c>
      <c r="G29" s="84">
        <f>$B$29*$F$19</f>
        <v>690.63345621077633</v>
      </c>
    </row>
    <row r="30" spans="1:7">
      <c r="B30" s="82"/>
      <c r="D30" s="100"/>
    </row>
    <row r="32" spans="1:7">
      <c r="A32" s="106" t="s">
        <v>88</v>
      </c>
      <c r="B32" s="119">
        <v>60</v>
      </c>
      <c r="D32" s="100"/>
    </row>
    <row r="33" spans="1:7" ht="28.9">
      <c r="A33" s="107" t="s">
        <v>89</v>
      </c>
      <c r="B33" s="120">
        <v>30</v>
      </c>
      <c r="D33" s="100"/>
      <c r="E33" s="100"/>
      <c r="F33" s="108"/>
    </row>
    <row r="34" spans="1:7">
      <c r="A34" s="109"/>
      <c r="B34" s="121"/>
      <c r="F34" s="108"/>
      <c r="G34" s="108"/>
    </row>
    <row r="35" spans="1:7">
      <c r="A35" s="87" t="s">
        <v>90</v>
      </c>
      <c r="B35" s="125">
        <f>$B$28</f>
        <v>18833.400000000001</v>
      </c>
    </row>
    <row r="36" spans="1:7">
      <c r="A36" s="106" t="s">
        <v>91</v>
      </c>
      <c r="B36" s="119">
        <v>60684</v>
      </c>
    </row>
    <row r="37" spans="1:7">
      <c r="A37" s="106" t="s">
        <v>92</v>
      </c>
      <c r="B37" s="119">
        <v>22651</v>
      </c>
    </row>
    <row r="38" spans="1:7">
      <c r="A38" s="106" t="s">
        <v>93</v>
      </c>
      <c r="B38" s="119">
        <v>60684</v>
      </c>
    </row>
    <row r="39" spans="1:7">
      <c r="A39" s="106" t="s">
        <v>94</v>
      </c>
      <c r="B39" s="119">
        <v>35362</v>
      </c>
    </row>
    <row r="40" spans="1:7">
      <c r="A40" s="106" t="s">
        <v>95</v>
      </c>
      <c r="B40" s="119">
        <v>60684</v>
      </c>
      <c r="G40" s="110"/>
    </row>
    <row r="42" spans="1:7" ht="18">
      <c r="A42" s="96" t="s">
        <v>96</v>
      </c>
      <c r="B42" s="94"/>
    </row>
    <row r="43" spans="1:7">
      <c r="C43" s="97"/>
      <c r="D43" s="97"/>
      <c r="E43" s="97"/>
      <c r="F43" s="97"/>
      <c r="G43" s="97"/>
    </row>
    <row r="44" spans="1:7" hidden="1">
      <c r="A44" s="111" t="s">
        <v>97</v>
      </c>
    </row>
    <row r="45" spans="1:7">
      <c r="A45" s="111" t="s">
        <v>97</v>
      </c>
    </row>
    <row r="46" spans="1:7">
      <c r="A46" s="88" t="s">
        <v>98</v>
      </c>
      <c r="B46" s="40">
        <f>Calculations!$T$37</f>
        <v>6079.3614949217235</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4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3.1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161608.22875332163</v>
      </c>
      <c r="F4" s="21">
        <f>'Inputs &amp; Outputs'!G29*Annual_Days_of_Travel</f>
        <v>179564.69861480183</v>
      </c>
      <c r="H4" s="49">
        <v>2018</v>
      </c>
      <c r="I4" s="50">
        <f>'Inputs &amp; Outputs'!B28</f>
        <v>18833.400000000001</v>
      </c>
      <c r="J4" s="50">
        <f>IF(H4=Year_Open_to_Traffic?,$F$4,0)</f>
        <v>0</v>
      </c>
      <c r="K4" s="50">
        <f>IF(H4=Year_Open_to_Traffic?,Calculations!$E$4,0)</f>
        <v>0</v>
      </c>
      <c r="L4" s="50">
        <f>IF(AND(H4&gt;=Year_Open_to_Traffic?, Calculations!H4&lt;Year_Open_to_Traffic?+'Inputs &amp; Outputs'!B$21), 1, 0)</f>
        <v>0</v>
      </c>
      <c r="M4" s="65" t="s">
        <v>111</v>
      </c>
      <c r="N4" s="66">
        <f>MIN(E8,1)</f>
        <v>0.31035198734427527</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2.671814114321136E-2</v>
      </c>
      <c r="F5" s="26"/>
      <c r="H5" s="14">
        <f t="shared" ref="H5:H36" si="3">H4+1</f>
        <v>2019</v>
      </c>
      <c r="I5" s="79">
        <f>(I4*M5)+I4</f>
        <v>19336.593439406559</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2.671814114321136E-2</v>
      </c>
      <c r="N5" s="71">
        <f t="shared" ref="N5:N11" si="6">N4*(1+IFERROR(_2018_2025_V_C_Growth,_2018_2045_V_C_Growth))</f>
        <v>0.31864401554621574</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2.2521555421617823E-2</v>
      </c>
      <c r="F6" s="26"/>
      <c r="H6" s="49">
        <f t="shared" si="3"/>
        <v>2020</v>
      </c>
      <c r="I6" s="79">
        <f t="shared" ref="I6:I36" si="10">(I5*M6)+I5</f>
        <v>19853.231272149518</v>
      </c>
      <c r="J6" s="50">
        <f t="shared" si="4"/>
        <v>0</v>
      </c>
      <c r="K6" s="50">
        <f>IF(H6=Year_Open_to_Traffic?,Calculations!$E$4,K5+(K5*M6))</f>
        <v>0</v>
      </c>
      <c r="L6" s="50">
        <f>IF(AND(H6&gt;=Year_Open_to_Traffic?, Calculations!H6&lt;Year_Open_to_Traffic?+'Inputs &amp; Outputs'!B$21), 1, 0)</f>
        <v>0</v>
      </c>
      <c r="M6" s="65">
        <f t="shared" si="5"/>
        <v>2.671814114321136E-2</v>
      </c>
      <c r="N6" s="71">
        <f t="shared" si="6"/>
        <v>0.32715759132801919</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2.3607909227030932E-2</v>
      </c>
      <c r="F7" s="26"/>
      <c r="H7" s="14">
        <f t="shared" si="3"/>
        <v>2021</v>
      </c>
      <c r="I7" s="79">
        <f t="shared" si="10"/>
        <v>20383.672707427628</v>
      </c>
      <c r="J7" s="50">
        <f t="shared" si="4"/>
        <v>0</v>
      </c>
      <c r="K7" s="50">
        <f>IF(H7=Year_Open_to_Traffic?,Calculations!$E$4,K6+(K6*M7))</f>
        <v>0</v>
      </c>
      <c r="L7" s="50">
        <f>IF(AND(H7&gt;=Year_Open_to_Traffic?, Calculations!H7&lt;Year_Open_to_Traffic?+'Inputs &amp; Outputs'!B$21), 1, 0)</f>
        <v>0</v>
      </c>
      <c r="M7" s="65">
        <f t="shared" si="5"/>
        <v>2.671814114321136E-2</v>
      </c>
      <c r="N7" s="71">
        <f t="shared" si="6"/>
        <v>0.33589863402919429</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0.31035198734427527</v>
      </c>
      <c r="F8" s="26"/>
      <c r="H8" s="49">
        <f t="shared" si="3"/>
        <v>2022</v>
      </c>
      <c r="I8" s="79">
        <f t="shared" si="10"/>
        <v>20928.286551841706</v>
      </c>
      <c r="J8" s="50">
        <f t="shared" si="4"/>
        <v>179564.69861480183</v>
      </c>
      <c r="K8" s="50">
        <f>IF(H8=Year_Open_to_Traffic?,Calculations!$E$4,K7+(K7*M8))</f>
        <v>161608.22875332163</v>
      </c>
      <c r="L8" s="50">
        <f>IF(AND(H8&gt;=Year_Open_to_Traffic?, Calculations!H8&lt;Year_Open_to_Traffic?+'Inputs &amp; Outputs'!B$21), 1, 0)</f>
        <v>1</v>
      </c>
      <c r="M8" s="65">
        <f t="shared" si="5"/>
        <v>2.671814114321136E-2</v>
      </c>
      <c r="N8" s="71">
        <f t="shared" si="6"/>
        <v>0.34487322114299818</v>
      </c>
      <c r="O8" s="72">
        <f t="shared" si="7"/>
        <v>1</v>
      </c>
      <c r="P8" s="68">
        <f>(J8-K8)*L8</f>
        <v>17956.469861480204</v>
      </c>
      <c r="Q8" s="69">
        <f>IF(AND(H8&gt;=Year_Open_to_Traffic?,H8&lt;Year_Open_to_Traffic?+Years_to_include_in_BCA_Analysis),1,0)</f>
        <v>1</v>
      </c>
      <c r="R8" s="70">
        <f t="shared" si="1"/>
        <v>19.416758600864465</v>
      </c>
      <c r="S8" s="77">
        <f t="shared" si="2"/>
        <v>484.63245246744236</v>
      </c>
      <c r="T8" s="64">
        <f t="shared" si="9"/>
        <v>369.72377759026165</v>
      </c>
      <c r="W8" s="58"/>
      <c r="X8" s="58"/>
    </row>
    <row r="9" spans="1:24">
      <c r="A9" s="17" t="s">
        <v>118</v>
      </c>
      <c r="B9" s="17">
        <f>'Inputs &amp; Outputs'!B21</f>
        <v>20</v>
      </c>
      <c r="D9" s="17" t="s">
        <v>119</v>
      </c>
      <c r="E9" s="22">
        <f>_2025_PeakVolume/_2025_Capacity</f>
        <v>0.37326148572935203</v>
      </c>
      <c r="F9" s="26"/>
      <c r="H9" s="14">
        <f t="shared" si="3"/>
        <v>2023</v>
      </c>
      <c r="I9" s="79">
        <f t="shared" si="10"/>
        <v>21487.451465819384</v>
      </c>
      <c r="J9" s="50">
        <f t="shared" si="4"/>
        <v>184362.33357673031</v>
      </c>
      <c r="K9" s="50">
        <f>IF(H9=Year_Open_to_Traffic?,Calculations!$E$4,K8+(K8*M9))</f>
        <v>165926.10021905726</v>
      </c>
      <c r="L9" s="50">
        <f>IF(AND(H9&gt;=Year_Open_to_Traffic?, Calculations!H9&lt;Year_Open_to_Traffic?+'Inputs &amp; Outputs'!B$21), 1, 0)</f>
        <v>1</v>
      </c>
      <c r="M9" s="65">
        <f t="shared" si="5"/>
        <v>2.671814114321136E-2</v>
      </c>
      <c r="N9" s="71">
        <f t="shared" si="6"/>
        <v>0.35408759254201072</v>
      </c>
      <c r="O9" s="72">
        <f t="shared" si="7"/>
        <v>1</v>
      </c>
      <c r="P9" s="68">
        <f t="shared" si="8"/>
        <v>18436.233357673045</v>
      </c>
      <c r="Q9" s="69">
        <f t="shared" si="0"/>
        <v>1</v>
      </c>
      <c r="R9" s="70">
        <f t="shared" si="1"/>
        <v>19.863344048684343</v>
      </c>
      <c r="S9" s="77">
        <f t="shared" si="2"/>
        <v>509.02529214195397</v>
      </c>
      <c r="T9" s="64">
        <f t="shared" si="9"/>
        <v>362.92799830484989</v>
      </c>
      <c r="W9" s="58"/>
    </row>
    <row r="10" spans="1:24">
      <c r="D10" s="17" t="s">
        <v>120</v>
      </c>
      <c r="E10" s="22">
        <f>_2045_PeakVolume/_2045_Capacity</f>
        <v>0.58272361742798762</v>
      </c>
      <c r="F10" s="26"/>
      <c r="H10" s="49">
        <f t="shared" si="3"/>
        <v>2024</v>
      </c>
      <c r="I10" s="79">
        <f t="shared" si="10"/>
        <v>22061.556226891051</v>
      </c>
      <c r="J10" s="50">
        <f t="shared" si="4"/>
        <v>189288.1524267252</v>
      </c>
      <c r="K10" s="50">
        <f>IF(H10=Year_Open_to_Traffic?,Calculations!$E$4,K9+(K9*M10))</f>
        <v>170359.33718405268</v>
      </c>
      <c r="L10" s="50">
        <f>IF(AND(H10&gt;=Year_Open_to_Traffic?, Calculations!H10&lt;Year_Open_to_Traffic?+'Inputs &amp; Outputs'!B$21), 1, 0)</f>
        <v>1</v>
      </c>
      <c r="M10" s="65">
        <f t="shared" si="5"/>
        <v>2.671814114321136E-2</v>
      </c>
      <c r="N10" s="71">
        <f t="shared" si="6"/>
        <v>0.36354815481660807</v>
      </c>
      <c r="O10" s="72">
        <f t="shared" si="7"/>
        <v>1</v>
      </c>
      <c r="P10" s="68">
        <f>(J10-K10)*L10</f>
        <v>18928.815242672514</v>
      </c>
      <c r="Q10" s="69">
        <f t="shared" si="0"/>
        <v>1</v>
      </c>
      <c r="R10" s="70">
        <f t="shared" si="1"/>
        <v>20.320200961804083</v>
      </c>
      <c r="S10" s="77">
        <f t="shared" si="2"/>
        <v>534.64588828295246</v>
      </c>
      <c r="T10" s="64">
        <f t="shared" si="9"/>
        <v>356.25713015281724</v>
      </c>
      <c r="W10" s="58"/>
    </row>
    <row r="11" spans="1:24" ht="30" customHeight="1">
      <c r="A11" s="132" t="s">
        <v>121</v>
      </c>
      <c r="B11" s="133"/>
      <c r="D11" s="17" t="s">
        <v>122</v>
      </c>
      <c r="E11" s="39">
        <f>(E9/E8)^(1/(2025-2018))-1</f>
        <v>2.671814114321136E-2</v>
      </c>
      <c r="F11" s="26"/>
      <c r="H11" s="14">
        <f t="shared" si="3"/>
        <v>2025</v>
      </c>
      <c r="I11" s="79">
        <f t="shared" si="10"/>
        <v>22651.000000000018</v>
      </c>
      <c r="J11" s="50">
        <f t="shared" si="4"/>
        <v>194345.58000000013</v>
      </c>
      <c r="K11" s="50">
        <f>IF(H11=Year_Open_to_Traffic?,Calculations!$E$4,K10+(K10*M11))</f>
        <v>174911.02200000014</v>
      </c>
      <c r="L11" s="50">
        <f>IF(AND(H11&gt;=Year_Open_to_Traffic?, Calculations!H11&lt;Year_Open_to_Traffic?+'Inputs &amp; Outputs'!B$21), 1, 0)</f>
        <v>1</v>
      </c>
      <c r="M11" s="65">
        <f t="shared" si="5"/>
        <v>2.671814114321136E-2</v>
      </c>
      <c r="N11" s="71">
        <f t="shared" si="6"/>
        <v>0.37326148572935225</v>
      </c>
      <c r="O11" s="72">
        <f t="shared" si="7"/>
        <v>1</v>
      </c>
      <c r="P11" s="68">
        <f t="shared" si="8"/>
        <v>19434.55799999999</v>
      </c>
      <c r="Q11" s="69">
        <f t="shared" si="0"/>
        <v>1</v>
      </c>
      <c r="R11" s="70">
        <f t="shared" si="1"/>
        <v>20.787565583925574</v>
      </c>
      <c r="S11" s="77">
        <f t="shared" si="2"/>
        <v>561.55603713725122</v>
      </c>
      <c r="T11" s="64">
        <f t="shared" si="9"/>
        <v>349.70887718095707</v>
      </c>
      <c r="W11" s="58"/>
    </row>
    <row r="12" spans="1:24">
      <c r="A12" s="17" t="s">
        <v>55</v>
      </c>
      <c r="B12" s="18">
        <v>0.45</v>
      </c>
      <c r="D12" s="17" t="s">
        <v>123</v>
      </c>
      <c r="E12" s="39">
        <f>(E10/E9)^(1/(2045-2025))-1</f>
        <v>2.2521555421617823E-2</v>
      </c>
      <c r="F12" s="26"/>
      <c r="H12" s="49">
        <v>2026</v>
      </c>
      <c r="I12" s="79">
        <f t="shared" si="10"/>
        <v>23161.135751855083</v>
      </c>
      <c r="J12" s="50">
        <f t="shared" si="4"/>
        <v>198722.5447509166</v>
      </c>
      <c r="K12" s="50">
        <f>IF(H12=Year_Open_to_Traffic?,Calculations!$E$4,K11+(K11*M12))</f>
        <v>178850.29027582495</v>
      </c>
      <c r="L12" s="50">
        <f>IF(AND(H12&gt;=Year_Open_to_Traffic?, Calculations!H12&lt;Year_Open_to_Traffic?+'Inputs &amp; Outputs'!B$21), 1, 0)</f>
        <v>1</v>
      </c>
      <c r="M12" s="65">
        <f t="shared" ref="M12:M36" si="11">IFERROR(_2025_2045_Demand_Growth,_2018_2045_Demand_Growth)</f>
        <v>2.2521555421617823E-2</v>
      </c>
      <c r="N12" s="71">
        <f t="shared" ref="N12:N36" si="12">N11*(1+IFERROR(_2025_2045_V_C_Growth,_2018_2045_V_C_Growth))</f>
        <v>0.38166791496696129</v>
      </c>
      <c r="O12" s="72">
        <f t="shared" si="7"/>
        <v>1</v>
      </c>
      <c r="P12" s="68">
        <f t="shared" si="8"/>
        <v>19872.254475091642</v>
      </c>
      <c r="Q12" s="69">
        <f t="shared" si="0"/>
        <v>1</v>
      </c>
      <c r="R12" s="70">
        <f t="shared" si="1"/>
        <v>21.265679592355859</v>
      </c>
      <c r="S12" s="77">
        <f t="shared" si="2"/>
        <v>587.40982505863155</v>
      </c>
      <c r="T12" s="64">
        <f t="shared" si="9"/>
        <v>341.87786629508003</v>
      </c>
      <c r="W12" s="58"/>
    </row>
    <row r="13" spans="1:24">
      <c r="A13" s="17" t="s">
        <v>124</v>
      </c>
      <c r="B13" s="18">
        <v>0.43</v>
      </c>
      <c r="D13" s="17" t="s">
        <v>125</v>
      </c>
      <c r="E13" s="39">
        <f>(E10/E8)^(1/(2045-2018))-1</f>
        <v>2.3607909227030932E-2</v>
      </c>
      <c r="F13" s="26"/>
      <c r="H13" s="14">
        <f t="shared" si="3"/>
        <v>2027</v>
      </c>
      <c r="I13" s="79">
        <f t="shared" si="10"/>
        <v>23682.760554318102</v>
      </c>
      <c r="J13" s="50">
        <f t="shared" si="4"/>
        <v>203198.08555604931</v>
      </c>
      <c r="K13" s="50">
        <f>IF(H13=Year_Open_to_Traffic?,Calculations!$E$4,K12+(K12*M13))</f>
        <v>182878.27700044439</v>
      </c>
      <c r="L13" s="50">
        <f>IF(AND(H13&gt;=Year_Open_to_Traffic?, Calculations!H13&lt;Year_Open_to_Traffic?+'Inputs &amp; Outputs'!B$21), 1, 0)</f>
        <v>1</v>
      </c>
      <c r="M13" s="65">
        <f t="shared" si="11"/>
        <v>2.2521555421617823E-2</v>
      </c>
      <c r="N13" s="71">
        <f t="shared" si="12"/>
        <v>0.390263670066543</v>
      </c>
      <c r="O13" s="72">
        <f t="shared" si="7"/>
        <v>1</v>
      </c>
      <c r="P13" s="68">
        <f t="shared" si="8"/>
        <v>20319.808555604919</v>
      </c>
      <c r="Q13" s="69">
        <f t="shared" si="0"/>
        <v>1</v>
      </c>
      <c r="R13" s="70">
        <f t="shared" si="1"/>
        <v>21.754790222980041</v>
      </c>
      <c r="S13" s="77">
        <f t="shared" si="2"/>
        <v>614.45390977263708</v>
      </c>
      <c r="T13" s="64">
        <f t="shared" si="9"/>
        <v>334.22221478809286</v>
      </c>
      <c r="W13" s="58"/>
    </row>
    <row r="14" spans="1:24">
      <c r="H14" s="49">
        <f>H13+1</f>
        <v>2028</v>
      </c>
      <c r="I14" s="79">
        <f t="shared" si="10"/>
        <v>24216.13315867908</v>
      </c>
      <c r="J14" s="50">
        <f t="shared" si="4"/>
        <v>207774.4225014665</v>
      </c>
      <c r="K14" s="50">
        <f>IF(H14=Year_Open_to_Traffic?,Calculations!$E$4,K13+(K13*M14))</f>
        <v>186996.98025131988</v>
      </c>
      <c r="L14" s="50">
        <f>IF(AND(H14&gt;=Year_Open_to_Traffic?, Calculations!H14&lt;Year_Open_to_Traffic?+'Inputs &amp; Outputs'!B$21), 1, 0)</f>
        <v>1</v>
      </c>
      <c r="M14" s="65">
        <f t="shared" si="11"/>
        <v>2.2521555421617823E-2</v>
      </c>
      <c r="N14" s="71">
        <f t="shared" si="12"/>
        <v>0.3990530149409906</v>
      </c>
      <c r="O14" s="72">
        <f t="shared" si="7"/>
        <v>1</v>
      </c>
      <c r="P14" s="68">
        <f t="shared" si="8"/>
        <v>20777.442250146618</v>
      </c>
      <c r="Q14" s="69">
        <f t="shared" si="0"/>
        <v>1</v>
      </c>
      <c r="R14" s="70">
        <f t="shared" si="1"/>
        <v>22.255150398108579</v>
      </c>
      <c r="S14" s="77">
        <f t="shared" si="2"/>
        <v>642.74309200938956</v>
      </c>
      <c r="T14" s="64">
        <f t="shared" si="9"/>
        <v>326.73799584745296</v>
      </c>
      <c r="W14" s="58"/>
    </row>
    <row r="15" spans="1:24">
      <c r="H15" s="14">
        <f t="shared" si="3"/>
        <v>2029</v>
      </c>
      <c r="I15" s="79">
        <f t="shared" si="10"/>
        <v>24761.518143709549</v>
      </c>
      <c r="J15" s="50">
        <f t="shared" si="4"/>
        <v>212453.82567302792</v>
      </c>
      <c r="K15" s="50">
        <f>IF(H15=Year_Open_to_Traffic?,Calculations!$E$4,K14+(K14*M15))</f>
        <v>191208.44310572516</v>
      </c>
      <c r="L15" s="50">
        <f>IF(AND(H15&gt;=Year_Open_to_Traffic?, Calculations!H15&lt;Year_Open_to_Traffic?+'Inputs &amp; Outputs'!B$21), 1, 0)</f>
        <v>1</v>
      </c>
      <c r="M15" s="65">
        <f t="shared" si="11"/>
        <v>2.2521555421617823E-2</v>
      </c>
      <c r="N15" s="71">
        <f t="shared" si="12"/>
        <v>0.40804030953314779</v>
      </c>
      <c r="O15" s="72">
        <f t="shared" si="7"/>
        <v>1</v>
      </c>
      <c r="P15" s="68">
        <f t="shared" si="8"/>
        <v>21245.38256730276</v>
      </c>
      <c r="Q15" s="69">
        <f t="shared" si="0"/>
        <v>1</v>
      </c>
      <c r="R15" s="70">
        <f t="shared" si="1"/>
        <v>22.767018857265079</v>
      </c>
      <c r="S15" s="77">
        <f t="shared" si="2"/>
        <v>672.33469550003383</v>
      </c>
      <c r="T15" s="64">
        <f t="shared" si="9"/>
        <v>319.42137059350767</v>
      </c>
      <c r="W15" s="58"/>
    </row>
    <row r="16" spans="1:24">
      <c r="H16" s="49">
        <f t="shared" si="3"/>
        <v>2030</v>
      </c>
      <c r="I16" s="79">
        <f t="shared" si="10"/>
        <v>25319.1860469065</v>
      </c>
      <c r="J16" s="50">
        <f t="shared" si="4"/>
        <v>217238.61628245775</v>
      </c>
      <c r="K16" s="50">
        <f>IF(H16=Year_Open_to_Traffic?,Calculations!$E$4,K15+(K15*M16))</f>
        <v>195514.75465421201</v>
      </c>
      <c r="L16" s="50">
        <f>IF(AND(H16&gt;=Year_Open_to_Traffic?, Calculations!H16&lt;Year_Open_to_Traffic?+'Inputs &amp; Outputs'!B$21), 1, 0)</f>
        <v>1</v>
      </c>
      <c r="M16" s="65">
        <f t="shared" si="11"/>
        <v>2.2521555421617823E-2</v>
      </c>
      <c r="N16" s="71">
        <f t="shared" si="12"/>
        <v>0.4172300119785527</v>
      </c>
      <c r="O16" s="72">
        <f t="shared" si="7"/>
        <v>1</v>
      </c>
      <c r="P16" s="68">
        <f t="shared" si="8"/>
        <v>21723.861628245737</v>
      </c>
      <c r="Q16" s="69">
        <f t="shared" si="0"/>
        <v>1</v>
      </c>
      <c r="R16" s="70">
        <f t="shared" si="1"/>
        <v>23.290660290982171</v>
      </c>
      <c r="S16" s="77">
        <f t="shared" si="2"/>
        <v>703.28868313456633</v>
      </c>
      <c r="T16" s="64">
        <f t="shared" si="9"/>
        <v>312.26858611041547</v>
      </c>
      <c r="W16" s="58"/>
    </row>
    <row r="17" spans="1:23">
      <c r="A17" s="27"/>
      <c r="H17" s="14">
        <f t="shared" si="3"/>
        <v>2031</v>
      </c>
      <c r="I17" s="79">
        <f t="shared" si="10"/>
        <v>25889.413498692156</v>
      </c>
      <c r="J17" s="50">
        <f t="shared" si="4"/>
        <v>222131.16781877869</v>
      </c>
      <c r="K17" s="50">
        <f>IF(H17=Year_Open_to_Traffic?,Calculations!$E$4,K16+(K16*M17))</f>
        <v>199918.05103690087</v>
      </c>
      <c r="L17" s="50">
        <f>IF(AND(H17&gt;=Year_Open_to_Traffic?, Calculations!H17&lt;Year_Open_to_Traffic?+'Inputs &amp; Outputs'!B$21), 1, 0)</f>
        <v>1</v>
      </c>
      <c r="M17" s="65">
        <f t="shared" si="11"/>
        <v>2.2521555421617823E-2</v>
      </c>
      <c r="N17" s="71">
        <f t="shared" si="12"/>
        <v>0.42662668081688992</v>
      </c>
      <c r="O17" s="72">
        <f t="shared" si="7"/>
        <v>1</v>
      </c>
      <c r="P17" s="68">
        <f t="shared" si="8"/>
        <v>22213.116781877819</v>
      </c>
      <c r="Q17" s="69">
        <f t="shared" si="0"/>
        <v>1</v>
      </c>
      <c r="R17" s="70">
        <f t="shared" si="1"/>
        <v>23.82634547767476</v>
      </c>
      <c r="S17" s="77">
        <f t="shared" si="2"/>
        <v>735.66777846752859</v>
      </c>
      <c r="T17" s="64">
        <f t="shared" si="9"/>
        <v>305.27597352116499</v>
      </c>
      <c r="W17" s="58"/>
    </row>
    <row r="18" spans="1:23">
      <c r="H18" s="49">
        <f t="shared" si="3"/>
        <v>2032</v>
      </c>
      <c r="I18" s="79">
        <f t="shared" si="10"/>
        <v>26472.483359636131</v>
      </c>
      <c r="J18" s="50">
        <f t="shared" si="4"/>
        <v>227133.90722567801</v>
      </c>
      <c r="K18" s="50">
        <f>IF(H18=Year_Open_to_Traffic?,Calculations!$E$4,K17+(K17*M18))</f>
        <v>204420.51650311027</v>
      </c>
      <c r="L18" s="50">
        <f>IF(AND(H18&gt;=Year_Open_to_Traffic?, Calculations!H18&lt;Year_Open_to_Traffic?+'Inputs &amp; Outputs'!B$21), 1, 0)</f>
        <v>1</v>
      </c>
      <c r="M18" s="65">
        <f t="shared" si="11"/>
        <v>2.2521555421617823E-2</v>
      </c>
      <c r="N18" s="71">
        <f t="shared" si="12"/>
        <v>0.43623497725324839</v>
      </c>
      <c r="O18" s="72">
        <f t="shared" si="7"/>
        <v>1</v>
      </c>
      <c r="P18" s="68">
        <f t="shared" si="8"/>
        <v>22713.390722567739</v>
      </c>
      <c r="Q18" s="69">
        <f t="shared" si="0"/>
        <v>1</v>
      </c>
      <c r="R18" s="70">
        <f t="shared" si="1"/>
        <v>24.374351423661277</v>
      </c>
      <c r="S18" s="77">
        <f t="shared" si="2"/>
        <v>769.53759281776343</v>
      </c>
      <c r="T18" s="64">
        <f t="shared" si="9"/>
        <v>298.4399461056986</v>
      </c>
      <c r="W18" s="58"/>
    </row>
    <row r="19" spans="1:23">
      <c r="H19" s="14">
        <f t="shared" si="3"/>
        <v>2033</v>
      </c>
      <c r="I19" s="79">
        <f t="shared" si="10"/>
        <v>27068.684860768033</v>
      </c>
      <c r="J19" s="50">
        <f t="shared" si="4"/>
        <v>232249.31610538971</v>
      </c>
      <c r="K19" s="50">
        <f>IF(H19=Year_Open_to_Traffic?,Calculations!$E$4,K18+(K18*M19))</f>
        <v>209024.38449485082</v>
      </c>
      <c r="L19" s="50">
        <f>IF(AND(H19&gt;=Year_Open_to_Traffic?, Calculations!H19&lt;Year_Open_to_Traffic?+'Inputs &amp; Outputs'!B$21), 1, 0)</f>
        <v>1</v>
      </c>
      <c r="M19" s="65">
        <f t="shared" si="11"/>
        <v>2.2521555421617823E-2</v>
      </c>
      <c r="N19" s="71">
        <f t="shared" si="12"/>
        <v>0.44605966747030562</v>
      </c>
      <c r="O19" s="72">
        <f t="shared" si="7"/>
        <v>1</v>
      </c>
      <c r="P19" s="68">
        <f t="shared" si="8"/>
        <v>23224.931610538886</v>
      </c>
      <c r="Q19" s="69">
        <f t="shared" si="0"/>
        <v>1</v>
      </c>
      <c r="R19" s="70">
        <f t="shared" si="1"/>
        <v>24.934961506405479</v>
      </c>
      <c r="S19" s="77">
        <f t="shared" si="2"/>
        <v>804.96675821978488</v>
      </c>
      <c r="T19" s="64">
        <f t="shared" si="9"/>
        <v>291.75699746117476</v>
      </c>
      <c r="W19" s="58"/>
    </row>
    <row r="20" spans="1:23">
      <c r="H20" s="49">
        <f t="shared" si="3"/>
        <v>2034</v>
      </c>
      <c r="I20" s="79">
        <f t="shared" si="10"/>
        <v>27678.313747050128</v>
      </c>
      <c r="J20" s="50">
        <f t="shared" si="4"/>
        <v>237479.93194969007</v>
      </c>
      <c r="K20" s="50">
        <f>IF(H20=Year_Open_to_Traffic?,Calculations!$E$4,K19+(K19*M20))</f>
        <v>213731.93875472117</v>
      </c>
      <c r="L20" s="50">
        <f>IF(AND(H20&gt;=Year_Open_to_Traffic?, Calculations!H20&lt;Year_Open_to_Traffic?+'Inputs &amp; Outputs'!B$21), 1, 0)</f>
        <v>1</v>
      </c>
      <c r="M20" s="65">
        <f t="shared" si="11"/>
        <v>2.2521555421617823E-2</v>
      </c>
      <c r="N20" s="71">
        <f t="shared" si="12"/>
        <v>0.4561056249925865</v>
      </c>
      <c r="O20" s="72">
        <f t="shared" si="7"/>
        <v>1</v>
      </c>
      <c r="P20" s="68">
        <f t="shared" si="8"/>
        <v>23747.993194968905</v>
      </c>
      <c r="Q20" s="69">
        <f t="shared" si="0"/>
        <v>1</v>
      </c>
      <c r="R20" s="70">
        <f t="shared" si="1"/>
        <v>25.508465621052807</v>
      </c>
      <c r="S20" s="77">
        <f t="shared" si="2"/>
        <v>842.02706649617573</v>
      </c>
      <c r="T20" s="64">
        <f t="shared" si="9"/>
        <v>285.22369970343124</v>
      </c>
      <c r="W20" s="58"/>
    </row>
    <row r="21" spans="1:23">
      <c r="H21" s="14">
        <f t="shared" si="3"/>
        <v>2035</v>
      </c>
      <c r="I21" s="79">
        <f t="shared" si="10"/>
        <v>28301.672424081244</v>
      </c>
      <c r="J21" s="50">
        <f t="shared" si="4"/>
        <v>242828.34939861705</v>
      </c>
      <c r="K21" s="50">
        <f>IF(H21=Year_Open_to_Traffic?,Calculations!$E$4,K20+(K20*M21))</f>
        <v>218545.51445875544</v>
      </c>
      <c r="L21" s="50">
        <f>IF(AND(H21&gt;=Year_Open_to_Traffic?, Calculations!H21&lt;Year_Open_to_Traffic?+'Inputs &amp; Outputs'!B$21), 1, 0)</f>
        <v>1</v>
      </c>
      <c r="M21" s="65">
        <f t="shared" si="11"/>
        <v>2.2521555421617823E-2</v>
      </c>
      <c r="N21" s="71">
        <f t="shared" si="12"/>
        <v>0.46637783310396869</v>
      </c>
      <c r="O21" s="72">
        <f t="shared" si="7"/>
        <v>1</v>
      </c>
      <c r="P21" s="68">
        <f t="shared" si="8"/>
        <v>24282.834939861612</v>
      </c>
      <c r="Q21" s="69">
        <f t="shared" si="0"/>
        <v>1</v>
      </c>
      <c r="R21" s="70">
        <f t="shared" si="1"/>
        <v>26.095160330337016</v>
      </c>
      <c r="S21" s="77">
        <f t="shared" si="2"/>
        <v>880.79361473280971</v>
      </c>
      <c r="T21" s="64">
        <f t="shared" si="9"/>
        <v>278.83670170871949</v>
      </c>
      <c r="W21" s="58"/>
    </row>
    <row r="22" spans="1:23">
      <c r="H22" s="49">
        <f>H21+1</f>
        <v>2036</v>
      </c>
      <c r="I22" s="79">
        <f t="shared" si="10"/>
        <v>28939.070108104661</v>
      </c>
      <c r="J22" s="50">
        <f t="shared" si="4"/>
        <v>248297.22152753797</v>
      </c>
      <c r="K22" s="50">
        <f>IF(H22=Year_Open_to_Traffic?,Calculations!$E$4,K21+(K21*M22))</f>
        <v>223467.49937478427</v>
      </c>
      <c r="L22" s="50">
        <f>IF(AND(H22&gt;=Year_Open_to_Traffic?, Calculations!H22&lt;Year_Open_to_Traffic?+'Inputs &amp; Outputs'!B$21), 1, 0)</f>
        <v>1</v>
      </c>
      <c r="M22" s="65">
        <f t="shared" si="11"/>
        <v>2.2521555421617823E-2</v>
      </c>
      <c r="N22" s="71">
        <f t="shared" si="12"/>
        <v>0.47688138731963375</v>
      </c>
      <c r="O22" s="72">
        <f t="shared" si="7"/>
        <v>1</v>
      </c>
      <c r="P22" s="68">
        <f t="shared" si="8"/>
        <v>24829.722152753704</v>
      </c>
      <c r="Q22" s="69">
        <f t="shared" si="0"/>
        <v>1</v>
      </c>
      <c r="R22" s="70">
        <f t="shared" si="1"/>
        <v>26.695349017934767</v>
      </c>
      <c r="S22" s="77">
        <f t="shared" si="2"/>
        <v>921.34495745168829</v>
      </c>
      <c r="T22" s="64">
        <f t="shared" si="9"/>
        <v>272.59272739481281</v>
      </c>
      <c r="W22" s="58"/>
    </row>
    <row r="23" spans="1:23">
      <c r="H23" s="14">
        <f t="shared" si="3"/>
        <v>2037</v>
      </c>
      <c r="I23" s="79">
        <f t="shared" si="10"/>
        <v>29590.822979394423</v>
      </c>
      <c r="J23" s="50">
        <f t="shared" si="4"/>
        <v>253889.26116320412</v>
      </c>
      <c r="K23" s="50">
        <f>IF(H23=Year_Open_to_Traffic?,Calculations!$E$4,K22+(K22*M23))</f>
        <v>228500.33504688382</v>
      </c>
      <c r="L23" s="50">
        <f>IF(AND(H23&gt;=Year_Open_to_Traffic?, Calculations!H23&lt;Year_Open_to_Traffic?+'Inputs &amp; Outputs'!B$21), 1, 0)</f>
        <v>1</v>
      </c>
      <c r="M23" s="65">
        <f t="shared" si="11"/>
        <v>2.2521555421617823E-2</v>
      </c>
      <c r="N23" s="71">
        <f t="shared" si="12"/>
        <v>0.48762149791369086</v>
      </c>
      <c r="O23" s="72">
        <f t="shared" si="7"/>
        <v>1</v>
      </c>
      <c r="P23" s="68">
        <f t="shared" si="8"/>
        <v>25388.926116320305</v>
      </c>
      <c r="Q23" s="69">
        <f t="shared" si="0"/>
        <v>1</v>
      </c>
      <c r="R23" s="70">
        <f t="shared" si="1"/>
        <v>27.309342045347261</v>
      </c>
      <c r="S23" s="77">
        <f t="shared" si="2"/>
        <v>963.76326578975136</v>
      </c>
      <c r="T23" s="64">
        <f t="shared" si="9"/>
        <v>266.48857404060675</v>
      </c>
      <c r="W23" s="58"/>
    </row>
    <row r="24" spans="1:23">
      <c r="H24" s="49">
        <f t="shared" si="3"/>
        <v>2038</v>
      </c>
      <c r="I24" s="79">
        <f t="shared" si="10"/>
        <v>30257.254339096136</v>
      </c>
      <c r="J24" s="50">
        <f t="shared" si="4"/>
        <v>259607.24222944482</v>
      </c>
      <c r="K24" s="50">
        <f>IF(H24=Year_Open_to_Traffic?,Calculations!$E$4,K23+(K23*M24))</f>
        <v>233646.51800650044</v>
      </c>
      <c r="L24" s="50">
        <f>IF(AND(H24&gt;=Year_Open_to_Traffic?, Calculations!H24&lt;Year_Open_to_Traffic?+'Inputs &amp; Outputs'!B$21), 1, 0)</f>
        <v>1</v>
      </c>
      <c r="M24" s="65">
        <f t="shared" si="11"/>
        <v>2.2521555421617823E-2</v>
      </c>
      <c r="N24" s="71">
        <f t="shared" si="12"/>
        <v>0.49860349250372638</v>
      </c>
      <c r="O24" s="72">
        <f t="shared" si="7"/>
        <v>1</v>
      </c>
      <c r="P24" s="68">
        <f>(J24-K24)*L24</f>
        <v>25960.72422294438</v>
      </c>
      <c r="Q24" s="69">
        <f t="shared" si="0"/>
        <v>1</v>
      </c>
      <c r="R24" s="70">
        <f t="shared" si="1"/>
        <v>27.93745691239025</v>
      </c>
      <c r="S24" s="77">
        <f t="shared" si="2"/>
        <v>1008.1344940062066</v>
      </c>
      <c r="T24" s="64">
        <f t="shared" si="9"/>
        <v>260.52111064334804</v>
      </c>
      <c r="W24" s="58"/>
    </row>
    <row r="25" spans="1:23">
      <c r="H25" s="14">
        <f t="shared" si="3"/>
        <v>2039</v>
      </c>
      <c r="I25" s="79">
        <f t="shared" si="10"/>
        <v>30938.694769600075</v>
      </c>
      <c r="J25" s="50">
        <f t="shared" si="4"/>
        <v>265454.00112316862</v>
      </c>
      <c r="K25" s="50">
        <f>IF(H25=Year_Open_to_Traffic?,Calculations!$E$4,K24+(K24*M25))</f>
        <v>238908.60101085185</v>
      </c>
      <c r="L25" s="50">
        <f>IF(AND(H25&gt;=Year_Open_to_Traffic?, Calculations!H25&lt;Year_Open_to_Traffic?+'Inputs &amp; Outputs'!B$21), 1, 0)</f>
        <v>1</v>
      </c>
      <c r="M25" s="65">
        <f t="shared" si="11"/>
        <v>2.2521555421617823E-2</v>
      </c>
      <c r="N25" s="71">
        <f t="shared" si="12"/>
        <v>0.50983281869356123</v>
      </c>
      <c r="O25" s="72">
        <f t="shared" si="7"/>
        <v>1</v>
      </c>
      <c r="P25" s="68">
        <f t="shared" si="8"/>
        <v>26545.400112316769</v>
      </c>
      <c r="Q25" s="69">
        <f t="shared" si="0"/>
        <v>1</v>
      </c>
      <c r="R25" s="70">
        <f t="shared" si="1"/>
        <v>28.580018421375218</v>
      </c>
      <c r="S25" s="77">
        <f t="shared" si="2"/>
        <v>1054.5485536557767</v>
      </c>
      <c r="T25" s="64">
        <f t="shared" si="9"/>
        <v>254.68727631264795</v>
      </c>
      <c r="W25" s="58"/>
    </row>
    <row r="26" spans="1:23">
      <c r="H26" s="49">
        <f t="shared" si="3"/>
        <v>2040</v>
      </c>
      <c r="I26" s="79">
        <f t="shared" si="10"/>
        <v>31635.482298526142</v>
      </c>
      <c r="J26" s="50">
        <f t="shared" si="4"/>
        <v>271432.43812135427</v>
      </c>
      <c r="K26" s="50">
        <f>IF(H26=Year_Open_to_Traffic?,Calculations!$E$4,K25+(K25*M26))</f>
        <v>244289.19430921893</v>
      </c>
      <c r="L26" s="50">
        <f>IF(AND(H26&gt;=Year_Open_to_Traffic?, Calculations!H26&lt;Year_Open_to_Traffic?+'Inputs &amp; Outputs'!B$21), 1, 0)</f>
        <v>1</v>
      </c>
      <c r="M26" s="65">
        <f t="shared" si="11"/>
        <v>2.2521555421617823E-2</v>
      </c>
      <c r="N26" s="71">
        <f t="shared" si="12"/>
        <v>0.52131504677552787</v>
      </c>
      <c r="O26" s="72">
        <f t="shared" si="7"/>
        <v>1</v>
      </c>
      <c r="P26" s="68">
        <f t="shared" si="8"/>
        <v>27143.243812135333</v>
      </c>
      <c r="Q26" s="69">
        <f t="shared" si="0"/>
        <v>1</v>
      </c>
      <c r="R26" s="70">
        <f t="shared" si="1"/>
        <v>29.237358845066851</v>
      </c>
      <c r="S26" s="77">
        <f t="shared" si="2"/>
        <v>1103.0994957808118</v>
      </c>
      <c r="T26" s="64">
        <f t="shared" si="9"/>
        <v>248.98407870046182</v>
      </c>
      <c r="W26" s="58"/>
    </row>
    <row r="27" spans="1:23">
      <c r="H27" s="14">
        <f t="shared" si="3"/>
        <v>2041</v>
      </c>
      <c r="I27" s="79">
        <f t="shared" si="10"/>
        <v>32347.962566402006</v>
      </c>
      <c r="J27" s="50">
        <f t="shared" si="4"/>
        <v>277545.51881972922</v>
      </c>
      <c r="K27" s="50">
        <f>IF(H27=Year_Open_to_Traffic?,Calculations!$E$4,K26+(K26*M27))</f>
        <v>249790.96693775637</v>
      </c>
      <c r="L27" s="50">
        <f>IF(AND(H27&gt;=Year_Open_to_Traffic?, Calculations!H27&lt;Year_Open_to_Traffic?+'Inputs &amp; Outputs'!B$21), 1, 0)</f>
        <v>1</v>
      </c>
      <c r="M27" s="65">
        <f t="shared" si="11"/>
        <v>2.2521555421617823E-2</v>
      </c>
      <c r="N27" s="71">
        <f t="shared" si="12"/>
        <v>0.5330558724936062</v>
      </c>
      <c r="O27" s="72">
        <f t="shared" si="7"/>
        <v>1</v>
      </c>
      <c r="P27" s="68">
        <f t="shared" si="8"/>
        <v>27754.551881972846</v>
      </c>
      <c r="Q27" s="69">
        <f t="shared" si="0"/>
        <v>1</v>
      </c>
      <c r="R27" s="70">
        <f t="shared" si="1"/>
        <v>29.909818098503379</v>
      </c>
      <c r="S27" s="77">
        <f t="shared" si="2"/>
        <v>1153.8857014914424</v>
      </c>
      <c r="T27" s="64">
        <f t="shared" si="9"/>
        <v>243.40859246622355</v>
      </c>
      <c r="W27" s="58"/>
    </row>
    <row r="28" spans="1:23">
      <c r="H28" s="49">
        <f t="shared" si="3"/>
        <v>2042</v>
      </c>
      <c r="I28" s="79">
        <f t="shared" si="10"/>
        <v>33076.488998117646</v>
      </c>
      <c r="J28" s="50">
        <f t="shared" si="4"/>
        <v>283796.27560384944</v>
      </c>
      <c r="K28" s="50">
        <f>IF(H28=Year_Open_to_Traffic?,Calculations!$E$4,K27+(K27*M28))</f>
        <v>255416.64804346455</v>
      </c>
      <c r="L28" s="50">
        <f>IF(AND(H28&gt;=Year_Open_to_Traffic?, Calculations!H28&lt;Year_Open_to_Traffic?+'Inputs &amp; Outputs'!B$21), 1, 0)</f>
        <v>0</v>
      </c>
      <c r="M28" s="65">
        <f t="shared" si="11"/>
        <v>2.2521555421617823E-2</v>
      </c>
      <c r="N28" s="71">
        <f t="shared" si="12"/>
        <v>0.5450611198687898</v>
      </c>
      <c r="O28" s="72">
        <f t="shared" si="7"/>
        <v>1</v>
      </c>
      <c r="P28" s="68">
        <f t="shared" si="8"/>
        <v>0</v>
      </c>
      <c r="Q28" s="69">
        <f t="shared" si="0"/>
        <v>0</v>
      </c>
      <c r="R28" s="70">
        <f t="shared" si="1"/>
        <v>30.597743914768959</v>
      </c>
      <c r="S28" s="77">
        <f t="shared" si="2"/>
        <v>0</v>
      </c>
      <c r="T28" s="64">
        <f t="shared" si="9"/>
        <v>0</v>
      </c>
      <c r="W28" s="58"/>
    </row>
    <row r="29" spans="1:23">
      <c r="H29" s="14">
        <f t="shared" si="3"/>
        <v>2043</v>
      </c>
      <c r="I29" s="79">
        <f t="shared" si="10"/>
        <v>33821.422978241288</v>
      </c>
      <c r="J29" s="50">
        <f t="shared" si="4"/>
        <v>290187.80915331026</v>
      </c>
      <c r="K29" s="50">
        <f>IF(H29=Year_Open_to_Traffic?,Calculations!$E$4,K28+(K28*M29))</f>
        <v>261169.02823797928</v>
      </c>
      <c r="L29" s="50">
        <f>IF(AND(H29&gt;=Year_Open_to_Traffic?, Calculations!H29&lt;Year_Open_to_Traffic?+'Inputs &amp; Outputs'!B$21), 1, 0)</f>
        <v>0</v>
      </c>
      <c r="M29" s="65">
        <f t="shared" si="11"/>
        <v>2.2521555421617823E-2</v>
      </c>
      <c r="N29" s="71">
        <f t="shared" si="12"/>
        <v>0.55733674408808387</v>
      </c>
      <c r="O29" s="72">
        <f t="shared" si="7"/>
        <v>1</v>
      </c>
      <c r="P29" s="68">
        <f t="shared" si="8"/>
        <v>0</v>
      </c>
      <c r="Q29" s="69">
        <f t="shared" si="0"/>
        <v>0</v>
      </c>
      <c r="R29" s="70">
        <f t="shared" si="1"/>
        <v>31.301492024808638</v>
      </c>
      <c r="S29" s="77">
        <f t="shared" si="2"/>
        <v>0</v>
      </c>
      <c r="T29" s="64">
        <f t="shared" si="9"/>
        <v>0</v>
      </c>
      <c r="W29" s="58"/>
    </row>
    <row r="30" spans="1:23">
      <c r="H30" s="14">
        <f t="shared" si="3"/>
        <v>2044</v>
      </c>
      <c r="I30" s="79">
        <f t="shared" si="10"/>
        <v>34583.134030283727</v>
      </c>
      <c r="J30" s="50">
        <f t="shared" si="4"/>
        <v>296723.2899798344</v>
      </c>
      <c r="K30" s="50">
        <f>IF(H30=Year_Open_to_Traffic?,Calculations!$E$4,K29+(K29*M30))</f>
        <v>267050.96098185098</v>
      </c>
      <c r="L30" s="50">
        <f>IF(AND(H30&gt;=Year_Open_to_Traffic?, Calculations!H30&lt;Year_Open_to_Traffic?+'Inputs &amp; Outputs'!B$21), 1, 0)</f>
        <v>0</v>
      </c>
      <c r="M30" s="65">
        <f t="shared" si="11"/>
        <v>2.2521555421617823E-2</v>
      </c>
      <c r="N30" s="71">
        <f t="shared" si="12"/>
        <v>0.56988883445856764</v>
      </c>
      <c r="O30" s="72">
        <f t="shared" si="7"/>
        <v>1</v>
      </c>
      <c r="P30" s="68">
        <f t="shared" si="8"/>
        <v>0</v>
      </c>
      <c r="Q30" s="69">
        <f t="shared" si="0"/>
        <v>0</v>
      </c>
      <c r="R30" s="70">
        <f t="shared" si="1"/>
        <v>32.021426341379232</v>
      </c>
      <c r="S30" s="77">
        <f t="shared" si="2"/>
        <v>0</v>
      </c>
      <c r="T30" s="64">
        <f t="shared" si="9"/>
        <v>0</v>
      </c>
      <c r="W30" s="58"/>
    </row>
    <row r="31" spans="1:23">
      <c r="H31" s="14">
        <f t="shared" si="3"/>
        <v>2045</v>
      </c>
      <c r="I31" s="79">
        <f t="shared" si="10"/>
        <v>35362</v>
      </c>
      <c r="J31" s="50">
        <f t="shared" si="4"/>
        <v>303405.96000000002</v>
      </c>
      <c r="K31" s="50">
        <f>IF(H31=Year_Open_to_Traffic?,Calculations!$E$4,K30+(K30*M31))</f>
        <v>273065.36400000006</v>
      </c>
      <c r="L31" s="50">
        <f>IF(AND(H31&gt;=Year_Open_to_Traffic?, Calculations!H31&lt;Year_Open_to_Traffic?+'Inputs &amp; Outputs'!B$21), 1, 0)</f>
        <v>0</v>
      </c>
      <c r="M31" s="65">
        <f t="shared" si="11"/>
        <v>2.2521555421617823E-2</v>
      </c>
      <c r="N31" s="71">
        <f t="shared" si="12"/>
        <v>0.58272361742798751</v>
      </c>
      <c r="O31" s="72">
        <f t="shared" si="7"/>
        <v>1</v>
      </c>
      <c r="P31" s="68">
        <f t="shared" si="8"/>
        <v>0</v>
      </c>
      <c r="Q31" s="69">
        <f t="shared" si="0"/>
        <v>0</v>
      </c>
      <c r="R31" s="70">
        <f t="shared" si="1"/>
        <v>32.757919147230957</v>
      </c>
      <c r="S31" s="77">
        <f t="shared" si="2"/>
        <v>0</v>
      </c>
      <c r="T31" s="64">
        <f t="shared" si="9"/>
        <v>0</v>
      </c>
      <c r="W31" s="58"/>
    </row>
    <row r="32" spans="1:23">
      <c r="H32" s="14">
        <f t="shared" si="3"/>
        <v>2046</v>
      </c>
      <c r="I32" s="79">
        <f t="shared" si="10"/>
        <v>36158.407242819252</v>
      </c>
      <c r="J32" s="50">
        <f t="shared" si="4"/>
        <v>310239.13414338918</v>
      </c>
      <c r="K32" s="50">
        <f>IF(H32=Year_Open_to_Traffic?,Calculations!$E$4,K31+(K31*M32))</f>
        <v>279215.22072905028</v>
      </c>
      <c r="L32" s="50">
        <f>IF(AND(H32&gt;=Year_Open_to_Traffic?, Calculations!H32&lt;Year_Open_to_Traffic?+'Inputs &amp; Outputs'!B$21), 1, 0)</f>
        <v>0</v>
      </c>
      <c r="M32" s="65">
        <f t="shared" si="11"/>
        <v>2.2521555421617823E-2</v>
      </c>
      <c r="N32" s="71">
        <f t="shared" si="12"/>
        <v>0.5958474596733776</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36972.750815495834</v>
      </c>
      <c r="J33" s="50">
        <f t="shared" si="4"/>
        <v>317226.20199695427</v>
      </c>
      <c r="K33" s="50">
        <f>IF(H33=Year_Open_to_Traffic?,Calculations!$E$4,K32+(K32*M33))</f>
        <v>285503.58179725887</v>
      </c>
      <c r="L33" s="50">
        <f>IF(AND(H33&gt;=Year_Open_to_Traffic?, Calculations!H33&lt;Year_Open_to_Traffic?+'Inputs &amp; Outputs'!B$21), 1, 0)</f>
        <v>0</v>
      </c>
      <c r="M33" s="65">
        <f t="shared" si="11"/>
        <v>2.2521555421617823E-2</v>
      </c>
      <c r="N33" s="71">
        <f t="shared" si="12"/>
        <v>0.60926687125924173</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37805.434672076692</v>
      </c>
      <c r="J34" s="50">
        <f t="shared" si="4"/>
        <v>324370.62948641804</v>
      </c>
      <c r="K34" s="50">
        <f>IF(H34=Year_Open_to_Traffic?,Calculations!$E$4,K33+(K33*M34))</f>
        <v>291933.56653777621</v>
      </c>
      <c r="L34" s="50">
        <f>IF(AND(H34&gt;=Year_Open_to_Traffic?, Calculations!H34&lt;Year_Open_to_Traffic?+'Inputs &amp; Outputs'!B$21), 1, 0)</f>
        <v>0</v>
      </c>
      <c r="M34" s="65">
        <f t="shared" si="11"/>
        <v>2.2521555421617823E-2</v>
      </c>
      <c r="N34" s="71">
        <f t="shared" si="12"/>
        <v>0.62298850886686241</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38656.87186428222</v>
      </c>
      <c r="J35" s="50">
        <f t="shared" si="4"/>
        <v>331675.96059554146</v>
      </c>
      <c r="K35" s="50">
        <f>IF(H35=Year_Open_to_Traffic?,Calculations!$E$4,K34+(K34*M35))</f>
        <v>298508.36453598726</v>
      </c>
      <c r="L35" s="50">
        <f>IF(AND(H35&gt;=Year_Open_to_Traffic?, Calculations!H35&lt;Year_Open_to_Traffic?+'Inputs &amp; Outputs'!B$21), 1, 0)</f>
        <v>0</v>
      </c>
      <c r="M35" s="65">
        <f t="shared" si="11"/>
        <v>2.2521555421617823E-2</v>
      </c>
      <c r="N35" s="71">
        <f t="shared" si="12"/>
        <v>0.63701917909633854</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39527.484746400034</v>
      </c>
      <c r="J36" s="50">
        <f t="shared" si="4"/>
        <v>339145.81912411225</v>
      </c>
      <c r="K36" s="50">
        <f>IF(H36=Year_Open_to_Traffic?,Calculations!$E$4,K35+(K35*M36))</f>
        <v>305231.23721170099</v>
      </c>
      <c r="L36" s="50">
        <f>IF(AND(H36&gt;=Year_Open_to_Traffic?, Calculations!H36&lt;Year_Open_to_Traffic?+'Inputs &amp; Outputs'!B$21), 1, 0)</f>
        <v>0</v>
      </c>
      <c r="M36" s="65">
        <f t="shared" si="11"/>
        <v>2.2521555421617823E-2</v>
      </c>
      <c r="N36" s="71">
        <f t="shared" si="12"/>
        <v>0.65136584184299018</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6079.3614949217235</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4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4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28.9">
      <c r="B4" s="62" t="s">
        <v>149</v>
      </c>
      <c r="C4" s="62" t="s">
        <v>150</v>
      </c>
      <c r="D4" s="124"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55</v>
      </c>
    </row>
    <row r="6" spans="2:14">
      <c r="B6" s="73" t="s">
        <v>158</v>
      </c>
      <c r="C6" s="81">
        <v>0.3</v>
      </c>
      <c r="D6" s="74">
        <v>0.2</v>
      </c>
      <c r="E6" s="74">
        <v>0.1</v>
      </c>
      <c r="F6" s="74">
        <v>0.3</v>
      </c>
      <c r="G6" s="91">
        <v>0.2</v>
      </c>
      <c r="H6" s="93"/>
      <c r="L6" s="44" t="s">
        <v>159</v>
      </c>
      <c r="N6" s="44" t="s">
        <v>124</v>
      </c>
    </row>
    <row r="7" spans="2:14">
      <c r="B7" s="73" t="s">
        <v>160</v>
      </c>
      <c r="C7" s="81">
        <v>0.3</v>
      </c>
      <c r="D7" s="74">
        <v>0.2</v>
      </c>
      <c r="E7" s="74">
        <v>0.15</v>
      </c>
      <c r="F7" s="74">
        <v>0.3</v>
      </c>
      <c r="G7" s="91">
        <v>0.25</v>
      </c>
      <c r="H7" s="93"/>
      <c r="L7" s="44" t="s">
        <v>161</v>
      </c>
    </row>
    <row r="8" spans="2:14">
      <c r="B8" s="73" t="s">
        <v>162</v>
      </c>
      <c r="C8" s="81">
        <v>0.2</v>
      </c>
      <c r="D8" s="74">
        <v>0.02</v>
      </c>
      <c r="E8" s="74">
        <v>0.02</v>
      </c>
      <c r="F8" s="74">
        <v>0.2</v>
      </c>
      <c r="G8" s="91">
        <v>0.15</v>
      </c>
      <c r="H8" s="93"/>
      <c r="L8" s="44" t="s">
        <v>163</v>
      </c>
    </row>
    <row r="9" spans="2:14">
      <c r="B9" s="73" t="s">
        <v>164</v>
      </c>
      <c r="C9" s="81">
        <v>0.2</v>
      </c>
      <c r="D9" s="74">
        <v>0.02</v>
      </c>
      <c r="E9" s="74">
        <v>0.02</v>
      </c>
      <c r="F9" s="74">
        <v>0.2</v>
      </c>
      <c r="G9" s="91">
        <v>0.15</v>
      </c>
      <c r="H9" s="93"/>
      <c r="L9" s="44" t="s">
        <v>52</v>
      </c>
    </row>
    <row r="10" spans="2:14">
      <c r="B10" s="73" t="s">
        <v>165</v>
      </c>
      <c r="C10" s="81">
        <v>0.3</v>
      </c>
      <c r="D10" s="74">
        <v>0.1</v>
      </c>
      <c r="E10" s="74">
        <v>0.1</v>
      </c>
      <c r="F10" s="74">
        <v>0.3</v>
      </c>
      <c r="G10" s="91">
        <v>0.22</v>
      </c>
      <c r="H10" s="93"/>
      <c r="L10" s="44" t="s">
        <v>166</v>
      </c>
    </row>
    <row r="11" spans="2:14">
      <c r="B11" s="73" t="s">
        <v>167</v>
      </c>
      <c r="C11" s="81">
        <v>0.4</v>
      </c>
      <c r="D11" s="74">
        <v>0.2</v>
      </c>
      <c r="E11" s="74">
        <v>0.12</v>
      </c>
      <c r="F11" s="74">
        <v>0.4</v>
      </c>
      <c r="G11" s="91">
        <v>0.3</v>
      </c>
      <c r="H11" s="93"/>
      <c r="L11" s="44" t="s">
        <v>168</v>
      </c>
    </row>
    <row r="12" spans="2:14">
      <c r="B12" s="73" t="s">
        <v>169</v>
      </c>
      <c r="C12" s="81">
        <v>0.2</v>
      </c>
      <c r="D12" s="74">
        <v>0.2</v>
      </c>
      <c r="E12" s="74">
        <v>0.12</v>
      </c>
      <c r="F12" s="74">
        <v>0.4</v>
      </c>
      <c r="G12" s="91">
        <v>0.3</v>
      </c>
      <c r="H12" s="93"/>
      <c r="L12" s="44" t="s">
        <v>170</v>
      </c>
    </row>
    <row r="13" spans="2:14">
      <c r="B13" s="73" t="s">
        <v>73</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5FA1B3-AA19-494B-A39F-74974F81DB25}"/>
</file>

<file path=customXml/itemProps2.xml><?xml version="1.0" encoding="utf-8"?>
<ds:datastoreItem xmlns:ds="http://schemas.openxmlformats.org/officeDocument/2006/customXml" ds:itemID="{C1684983-0A18-436A-80F4-32134E352019}"/>
</file>

<file path=customXml/itemProps3.xml><?xml version="1.0" encoding="utf-8"?>
<ds:datastoreItem xmlns:ds="http://schemas.openxmlformats.org/officeDocument/2006/customXml" ds:itemID="{897350AF-DBD2-4224-B734-CC32B6B3DC76}"/>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Andrew Mao</cp:lastModifiedBy>
  <cp:revision/>
  <dcterms:created xsi:type="dcterms:W3CDTF">2012-07-25T15:48:32Z</dcterms:created>
  <dcterms:modified xsi:type="dcterms:W3CDTF">2018-10-31T01:25:19Z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