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3_SH105/"/>
    </mc:Choice>
  </mc:AlternateContent>
  <xr:revisionPtr revIDLastSave="2" documentId="8_{2610A9A5-82A4-4021-9927-FB2C8443BDCB}" xr6:coauthVersionLast="40" xr6:coauthVersionMax="40" xr10:uidLastSave="{AB7553FF-53D8-45A5-B404-2145A452F64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<sst xmlns="http://schemas.openxmlformats.org/spreadsheetml/2006/main" count="292" uniqueCount="238">
  <si>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</si>
  <si>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</si>
  <si>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</si>
  <si>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</si>
  <si>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</si>
  <si>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</si>
  <si>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</si>
  <si>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</si>
  <si>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</si>
  <si>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</si>
  <si>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</si>
  <si>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</si>
  <si>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</si>
  <si>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</si>
  <si>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</si>
  <si>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</si>
  <si>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</si>
  <si>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</si>
  <si>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</si>
  <si>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</si>
  <si>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</si>
  <si>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</si>
  <si>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</si>
  <si>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</si>
  <si>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</si>
  <si>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</si>
  <si>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</si>
  <si>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</si>
  <si>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</si>
  <si>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</si>
  <si>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</si>
  <si>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</si>
  <si>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</si>
  <si>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</si>
  <si>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</si>
  <si>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</si>
  <si>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</si>
  <si>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</si>
  <si>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</si>
  <si>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</si>
  <si>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</si>
  <si>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</si>
  <si>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</si>
  <si>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</si>
  <si>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</si>
  <si>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</si>
  <si>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</si>
  <si>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</si>
  <si>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</si>
  <si>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105/SH 321 Intersection Improvements</t>
  </si>
  <si>
    <t>Data entered by the sponsors</t>
  </si>
  <si>
    <t>County</t>
  </si>
  <si>
    <t>Liberty</t>
  </si>
  <si>
    <t>HGAC regional travel demand model data provided by HGAC</t>
  </si>
  <si>
    <t>Facility Type</t>
  </si>
  <si>
    <t>Non Freeway</t>
  </si>
  <si>
    <t>Data populated/calculated based on inputs</t>
  </si>
  <si>
    <t>Street Name:</t>
  </si>
  <si>
    <t>SH 105</t>
  </si>
  <si>
    <t>Benefits calculated by the template</t>
  </si>
  <si>
    <t>Limits (From)</t>
  </si>
  <si>
    <t>SH 321 (west intersection)</t>
  </si>
  <si>
    <t>Limits (To)</t>
  </si>
  <si>
    <t>SH 321 (east intersection)</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</si>
  <si>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</si>
  <si>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</si>
  <si>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</si>
  <si>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</si>
  <si>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</si>
  <si>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</si>
  <si>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</si>
  <si>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</si>
  <si>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</si>
  <si>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Access Management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</si>
  <si>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</si>
  <si>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</si>
  <si>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</si>
  <si>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</si>
  <si>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</si>
  <si>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</si>
  <si>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</si>
  <si>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</si>
  <si>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</si>
  <si>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</si>
  <si>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</si>
  <si>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</si>
  <si>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</si>
  <si>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</si>
  <si>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</si>
  <si>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</si>
  <si>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</si>
  <si>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</si>
  <si>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</si>
  <si>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</si>
  <si>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</si>
  <si>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</si>
  <si>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</si>
  <si>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</si>
  <si>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</si>
  <si>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</si>
  <si>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</si>
  <si>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</si>
  <si>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</si>
  <si>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</si>
  <si>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</si>
  <si>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</si>
  <si>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</si>
  <si>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</si>
  <si>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</si>
  <si>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</si>
  <si>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</si>
  <si>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</si>
  <si>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</si>
  <si>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</si>
  <si>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</si>
  <si>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</si>
  <si>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</si>
  <si>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</si>
  <si>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</si>
  <si>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</si>
  <si>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</si>
  <si>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</si>
  <si>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</si>
  <si>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</si>
  <si>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</si>
  <si>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</si>
  <si>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</si>
  <si>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</si>
  <si>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</si>
  <si>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</si>
  <si>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</si>
  <si>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</si>
  <si>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</si>
  <si>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</si>
  <si>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</si>
  <si>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</si>
  <si>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</si>
  <si>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</si>
  <si>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</si>
  <si>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</si>
  <si>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</si>
  <si>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</si>
  <si>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</si>
  <si>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</si>
  <si>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</si>
  <si>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</si>
  <si>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</si>
  <si>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</si>
  <si>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</si>
  <si>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</si>
  <si>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</si>
  <si>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</si>
  <si>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</si>
  <si>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</si>
  <si>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</si>
  <si>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</si>
  <si>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</si>
  <si>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</si>
  <si>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Chambers</t>
  </si>
  <si>
    <t>Bottleneck Removal</t>
  </si>
  <si>
    <t>Fort Bend</t>
  </si>
  <si>
    <t xml:space="preserve">Freight Shuttle System </t>
  </si>
  <si>
    <t>Galveston</t>
  </si>
  <si>
    <t xml:space="preserve">Grade Separation </t>
  </si>
  <si>
    <t>Harris</t>
  </si>
  <si>
    <t xml:space="preserve">Managed HOT/HOV Lanes </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</si>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</sst>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2" zoomScale="115" zoomScaleNormal="115" workbookViewId="0" xr3:uid="{51F8DEE0-4D01-5F28-A812-FC0BD7CAC4A5}">
      <selection activeCell="B13" sqref="B13"/>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45">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4.2</v>
      </c>
    </row>
    <row r="13" spans="1:7">
      <c r="A13" s="7" t="s">
        <v>65</v>
      </c>
      <c r="B13" s="116">
        <v>259</v>
      </c>
      <c r="F13" s="99"/>
    </row>
    <row r="14" spans="1:7">
      <c r="A14" s="7" t="s">
        <v>66</v>
      </c>
      <c r="B14" s="116" t="s">
        <v>67</v>
      </c>
    </row>
    <row r="17" spans="1:7">
      <c r="A17" s="98" t="s">
        <v>68</v>
      </c>
      <c r="E17" s="130" t="s">
        <v>69</v>
      </c>
      <c r="F17" s="131"/>
    </row>
    <row r="18" spans="1:7">
      <c r="A18" s="7" t="s">
        <v>70</v>
      </c>
      <c r="B18" s="117">
        <v>2022</v>
      </c>
      <c r="E18" s="87" t="s">
        <v>71</v>
      </c>
      <c r="F18" s="123">
        <f>$B$12/$B$32</f>
        <v>8.4000000000000005E-2</v>
      </c>
    </row>
    <row r="19" spans="1:7" ht="30">
      <c r="A19" s="7" t="s">
        <v>72</v>
      </c>
      <c r="B19" s="118" t="s">
        <v>73</v>
      </c>
      <c r="E19" s="89" t="s">
        <v>74</v>
      </c>
      <c r="F19" s="124">
        <f>$B$12/$B$33</f>
        <v>0.12000000000000001</v>
      </c>
    </row>
    <row r="20" spans="1:7" ht="30">
      <c r="A20" s="113" t="s">
        <v>75</v>
      </c>
      <c r="B20" s="114">
        <f>VLOOKUP(B19,'Delay Reduction Factors'!B4:C80,2, FALSE)</f>
        <v>0.3</v>
      </c>
      <c r="E20" s="89" t="s">
        <v>76</v>
      </c>
      <c r="F20" s="123">
        <f>$F$19-$F$18</f>
        <v>3.6000000000000004E-2</v>
      </c>
    </row>
    <row r="21" spans="1:7">
      <c r="A21" s="7" t="s">
        <v>77</v>
      </c>
      <c r="B21" s="63">
        <v>20</v>
      </c>
      <c r="D21" s="100"/>
      <c r="E21" s="87" t="s">
        <v>78</v>
      </c>
      <c r="F21" s="123">
        <f>$F$20*$B$20</f>
        <v>1.0800000000000001E-2</v>
      </c>
      <c r="G21" s="101"/>
    </row>
    <row r="22" spans="1:7">
      <c r="D22" s="100"/>
      <c r="E22" s="87" t="s">
        <v>79</v>
      </c>
      <c r="F22" s="123">
        <f>$F$20-$F$21</f>
        <v>2.5200000000000004E-2</v>
      </c>
      <c r="G22" s="101"/>
    </row>
    <row r="23" spans="1:7">
      <c r="E23" s="87" t="s">
        <v>80</v>
      </c>
      <c r="F23" s="123">
        <f>$F$18+$F$22</f>
        <v>0.10920000000000001</v>
      </c>
    </row>
    <row r="24" spans="1:7">
      <c r="A24" s="98" t="s">
        <v>81</v>
      </c>
      <c r="B24" s="102"/>
      <c r="D24" s="100"/>
    </row>
    <row r="25" spans="1:7">
      <c r="A25" s="7" t="s">
        <v>82</v>
      </c>
      <c r="B25" s="119">
        <v>17345</v>
      </c>
      <c r="D25" s="100"/>
    </row>
    <row r="28" spans="1:7">
      <c r="A28" s="87" t="s">
        <v>83</v>
      </c>
      <c r="B28" s="112">
        <f>IF(FacilityType='Delay Reduction Factors'!N5,'Inputs &amp; Outputs'!B25*45%, B25*43%)</f>
        <v>7458.3499999999995</v>
      </c>
      <c r="D28" s="100"/>
      <c r="E28" s="103" t="s">
        <v>84</v>
      </c>
      <c r="F28" s="104" t="s">
        <v>2</v>
      </c>
      <c r="G28" s="105" t="s">
        <v>85</v>
      </c>
    </row>
    <row r="29" spans="1:7">
      <c r="A29" s="87" t="s">
        <v>86</v>
      </c>
      <c r="B29" s="95">
        <f>VLOOKUP(Year_Open_to_Traffic?,Calculations!H4:I36,2)</f>
        <v>7325.2580488740268</v>
      </c>
      <c r="D29" s="100"/>
      <c r="E29" s="89" t="s">
        <v>87</v>
      </c>
      <c r="F29" s="83">
        <f>$B$29*$F$23</f>
        <v>799.91817893704376</v>
      </c>
      <c r="G29" s="84">
        <f>$B$29*$F$19</f>
        <v>879.03096586488334</v>
      </c>
    </row>
    <row r="30" spans="1:7">
      <c r="B30" s="82"/>
      <c r="D30" s="100"/>
    </row>
    <row r="32" spans="1:7">
      <c r="A32" s="106" t="s">
        <v>88</v>
      </c>
      <c r="B32" s="120">
        <v>50</v>
      </c>
      <c r="D32" s="100"/>
    </row>
    <row r="33" spans="1:7" ht="30">
      <c r="A33" s="107" t="s">
        <v>89</v>
      </c>
      <c r="B33" s="121">
        <v>35</v>
      </c>
      <c r="D33" s="100"/>
      <c r="E33" s="100"/>
      <c r="F33" s="108"/>
    </row>
    <row r="34" spans="1:7">
      <c r="A34" s="109"/>
      <c r="B34" s="122"/>
      <c r="F34" s="108"/>
      <c r="G34" s="108"/>
    </row>
    <row r="35" spans="1:7">
      <c r="A35" s="87" t="s">
        <v>90</v>
      </c>
      <c r="B35" s="126">
        <f>$B$28</f>
        <v>7458.3499999999995</v>
      </c>
    </row>
    <row r="36" spans="1:7">
      <c r="A36" s="106" t="s">
        <v>91</v>
      </c>
      <c r="B36" s="120">
        <v>11422</v>
      </c>
    </row>
    <row r="37" spans="1:7">
      <c r="A37" s="106" t="s">
        <v>92</v>
      </c>
      <c r="B37" s="120">
        <v>7227</v>
      </c>
    </row>
    <row r="38" spans="1:7">
      <c r="A38" s="106" t="s">
        <v>93</v>
      </c>
      <c r="B38" s="120">
        <v>11422</v>
      </c>
    </row>
    <row r="39" spans="1:7">
      <c r="A39" s="106" t="s">
        <v>94</v>
      </c>
      <c r="B39" s="120">
        <v>9742</v>
      </c>
    </row>
    <row r="40" spans="1:7">
      <c r="A40" s="106" t="s">
        <v>95</v>
      </c>
      <c r="B40" s="120">
        <v>11422</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6146.8351643316391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207978.72652363137</v>
      </c>
      <c r="F4" s="21">
        <f>'Inputs &amp; Outputs'!G29*Annual_Days_of_Travel</f>
        <v>228548.05112486967</v>
      </c>
      <c r="H4" s="49">
        <v>2018</v>
      </c>
      <c r="I4" s="50">
        <f>'Inputs &amp; Outputs'!B28</f>
        <v>7458.3499999999995</v>
      </c>
      <c r="J4" s="50">
        <f>IF(H4=Year_Open_to_Traffic?,$F$4,0)</f>
        <v>0</v>
      </c>
      <c r="K4" s="50">
        <f>IF(H4=Year_Open_to_Traffic?,Calculations!$E$4,0)</f>
        <v>0</v>
      </c>
      <c r="L4" s="50">
        <f>IF(AND(H4&gt;=Year_Open_to_Traffic?, Calculations!H4&lt;Year_Open_to_Traffic?+'Inputs &amp; Outputs'!B$21), 1, 0)</f>
        <v>0</v>
      </c>
      <c r="M4" s="65" t="s">
        <v>111</v>
      </c>
      <c r="N4" s="66">
        <f>MIN(E8,1)</f>
        <v>0.65298108912624753</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-4.4913404606901075E-3</v>
      </c>
      <c r="F5" s="26"/>
      <c r="H5" s="14">
        <f t="shared" ref="H5:H36" si="3">H4+1</f>
        <v>2019</v>
      </c>
      <c r="I5" s="79">
        <f>(I4*M5)+I4</f>
        <v>7424.8520108750117</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-4.4913404606901075E-3</v>
      </c>
      <c r="N5" s="71">
        <f t="shared" ref="N5:N11" si="6">N4*(1+IFERROR(_2018_2025_V_C_Growth,_2018_2045_V_C_Growth))</f>
        <v>0.65004832874058927</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1.5043147207389529E-2</v>
      </c>
      <c r="F6" s="26"/>
      <c r="H6" s="49">
        <f t="shared" si="3"/>
        <v>2020</v>
      </c>
      <c r="I6" s="79">
        <f t="shared" ref="I6:I36" si="10">(I5*M6)+I5</f>
        <v>7391.5044726239321</v>
      </c>
      <c r="J6" s="50">
        <f t="shared" si="4"/>
        <v>0</v>
      </c>
      <c r="K6" s="50">
        <f>IF(H6=Year_Open_to_Traffic?,Calculations!$E$4,K5+(K5*M6))</f>
        <v>0</v>
      </c>
      <c r="L6" s="50">
        <f>IF(AND(H6&gt;=Year_Open_to_Traffic?, Calculations!H6&lt;Year_Open_to_Traffic?+'Inputs &amp; Outputs'!B$21), 1, 0)</f>
        <v>0</v>
      </c>
      <c r="M6" s="65">
        <f t="shared" si="5"/>
        <v>-4.4913404606901075E-3</v>
      </c>
      <c r="N6" s="71">
        <f t="shared" si="6"/>
        <v>0.64712874038031265</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9.9421433291835282E-3</v>
      </c>
      <c r="F7" s="26"/>
      <c r="H7" s="14">
        <f t="shared" si="3"/>
        <v>2021</v>
      </c>
      <c r="I7" s="79">
        <f t="shared" si="10"/>
        <v>7358.3067095206643</v>
      </c>
      <c r="J7" s="50">
        <f t="shared" si="4"/>
        <v>0</v>
      </c>
      <c r="K7" s="50">
        <f>IF(H7=Year_Open_to_Traffic?,Calculations!$E$4,K6+(K6*M7))</f>
        <v>0</v>
      </c>
      <c r="L7" s="50">
        <f>IF(AND(H7&gt;=Year_Open_to_Traffic?, Calculations!H7&lt;Year_Open_to_Traffic?+'Inputs &amp; Outputs'!B$21), 1, 0)</f>
        <v>0</v>
      </c>
      <c r="M7" s="65">
        <f t="shared" si="5"/>
        <v>-4.4913404606901075E-3</v>
      </c>
      <c r="N7" s="71">
        <f t="shared" si="6"/>
        <v>0.64422226488536716</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0.65298108912624753</v>
      </c>
      <c r="F8" s="26"/>
      <c r="H8" s="49">
        <f t="shared" si="3"/>
        <v>2022</v>
      </c>
      <c r="I8" s="79">
        <f t="shared" si="10"/>
        <v>7325.2580488740268</v>
      </c>
      <c r="J8" s="50">
        <f t="shared" si="4"/>
        <v>228548.05112486967</v>
      </c>
      <c r="K8" s="50">
        <f>IF(H8=Year_Open_to_Traffic?,Calculations!$E$4,K7+(K7*M8))</f>
        <v>207978.72652363137</v>
      </c>
      <c r="L8" s="50">
        <f>IF(AND(H8&gt;=Year_Open_to_Traffic?, Calculations!H8&lt;Year_Open_to_Traffic?+'Inputs &amp; Outputs'!B$21), 1, 0)</f>
        <v>1</v>
      </c>
      <c r="M8" s="65">
        <f t="shared" si="5"/>
        <v>-4.4913404606901075E-3</v>
      </c>
      <c r="N8" s="71">
        <f t="shared" si="6"/>
        <v>0.64132884336141005</v>
      </c>
      <c r="O8" s="72">
        <f t="shared" si="7"/>
        <v>1</v>
      </c>
      <c r="P8" s="68">
        <f>(J8-K8)*L8</f>
        <v>20569.324601238302</v>
      </c>
      <c r="Q8" s="69">
        <f>IF(AND(H8&gt;=Year_Open_to_Traffic?,H8&lt;Year_Open_to_Traffic?+Years_to_include_in_BCA_Analysis),1,0)</f>
        <v>1</v>
      </c>
      <c r="R8" s="70">
        <f t="shared" si="1"/>
        <v>19.416758600864465</v>
      </c>
      <c r="S8" s="77">
        <f t="shared" si="2"/>
        <v>555.15155840744285</v>
      </c>
      <c r="T8" s="64">
        <f t="shared" si="9"/>
        <v>423.5224658697602</v>
      </c>
      <c r="W8" s="58"/>
      <c r="X8" s="58"/>
    </row>
    <row r="9" spans="1:24">
      <c r="A9" s="17" t="s">
        <v>118</v>
      </c>
      <c r="B9" s="17">
        <f>'Inputs &amp; Outputs'!B21</f>
        <v>20</v>
      </c>
      <c r="D9" s="17" t="s">
        <v>119</v>
      </c>
      <c r="E9" s="22">
        <f>_2025_PeakVolume/_2025_Capacity</f>
        <v>0.63272631763263876</v>
      </c>
      <c r="F9" s="26"/>
      <c r="H9" s="14">
        <f t="shared" si="3"/>
        <v>2023</v>
      </c>
      <c r="I9" s="79">
        <f t="shared" si="10"/>
        <v>7292.3578210141231</v>
      </c>
      <c r="J9" s="50">
        <f t="shared" si="4"/>
        <v>227521.56401564067</v>
      </c>
      <c r="K9" s="50">
        <f>IF(H9=Year_Open_to_Traffic?,Calculations!$E$4,K8+(K8*M9))</f>
        <v>207044.62325423298</v>
      </c>
      <c r="L9" s="50">
        <f>IF(AND(H9&gt;=Year_Open_to_Traffic?, Calculations!H9&lt;Year_Open_to_Traffic?+'Inputs &amp; Outputs'!B$21), 1, 0)</f>
        <v>1</v>
      </c>
      <c r="M9" s="65">
        <f t="shared" si="5"/>
        <v>-4.4913404606901075E-3</v>
      </c>
      <c r="N9" s="71">
        <f t="shared" si="6"/>
        <v>0.63844841717861334</v>
      </c>
      <c r="O9" s="72">
        <f t="shared" si="7"/>
        <v>1</v>
      </c>
      <c r="P9" s="68">
        <f t="shared" si="8"/>
        <v>20476.940761407692</v>
      </c>
      <c r="Q9" s="69">
        <f t="shared" si="0"/>
        <v>1</v>
      </c>
      <c r="R9" s="70">
        <f t="shared" si="1"/>
        <v>19.863344048684343</v>
      </c>
      <c r="S9" s="77">
        <f t="shared" si="2"/>
        <v>565.36932197763326</v>
      </c>
      <c r="T9" s="64">
        <f t="shared" si="9"/>
        <v>403.10051287410471</v>
      </c>
      <c r="W9" s="58"/>
    </row>
    <row r="10" spans="1:24">
      <c r="D10" s="17" t="s">
        <v>120</v>
      </c>
      <c r="E10" s="22">
        <f>_2045_PeakVolume/_2045_Capacity</f>
        <v>0.85291542637016282</v>
      </c>
      <c r="F10" s="26"/>
      <c r="H10" s="49">
        <f t="shared" si="3"/>
        <v>2024</v>
      </c>
      <c r="I10" s="79">
        <f t="shared" si="10"/>
        <v>7259.6053592787721</v>
      </c>
      <c r="J10" s="50">
        <f t="shared" si="4"/>
        <v>226499.68720949773</v>
      </c>
      <c r="K10" s="50">
        <f>IF(H10=Year_Open_to_Traffic?,Calculations!$E$4,K9+(K9*M10))</f>
        <v>206114.71536064291</v>
      </c>
      <c r="L10" s="50">
        <f>IF(AND(H10&gt;=Year_Open_to_Traffic?, Calculations!H10&lt;Year_Open_to_Traffic?+'Inputs &amp; Outputs'!B$21), 1, 0)</f>
        <v>1</v>
      </c>
      <c r="M10" s="65">
        <f t="shared" si="5"/>
        <v>-4.4913404606901075E-3</v>
      </c>
      <c r="N10" s="71">
        <f t="shared" si="6"/>
        <v>0.6355809279704755</v>
      </c>
      <c r="O10" s="72">
        <f t="shared" si="7"/>
        <v>1</v>
      </c>
      <c r="P10" s="68">
        <f>(J10-K10)*L10</f>
        <v>20384.971848854824</v>
      </c>
      <c r="Q10" s="69">
        <f t="shared" si="0"/>
        <v>1</v>
      </c>
      <c r="R10" s="70">
        <f t="shared" si="1"/>
        <v>20.320200961804083</v>
      </c>
      <c r="S10" s="77">
        <f t="shared" si="2"/>
        <v>575.77514715153404</v>
      </c>
      <c r="T10" s="64">
        <f t="shared" si="9"/>
        <v>383.66329197123292</v>
      </c>
      <c r="W10" s="58"/>
    </row>
    <row r="11" spans="1:24" ht="30" customHeight="1">
      <c r="A11" s="132" t="s">
        <v>121</v>
      </c>
      <c r="B11" s="133"/>
      <c r="D11" s="17" t="s">
        <v>122</v>
      </c>
      <c r="E11" s="39">
        <f>(E9/E8)^(1/(2025-2018))-1</f>
        <v>-4.4913404606901075E-3</v>
      </c>
      <c r="F11" s="26"/>
      <c r="H11" s="14">
        <f t="shared" si="3"/>
        <v>2025</v>
      </c>
      <c r="I11" s="79">
        <f t="shared" si="10"/>
        <v>7227.0000000000009</v>
      </c>
      <c r="J11" s="50">
        <f t="shared" si="4"/>
        <v>225482.40000000005</v>
      </c>
      <c r="K11" s="50">
        <f>IF(H11=Year_Open_to_Traffic?,Calculations!$E$4,K10+(K10*M11))</f>
        <v>205188.98400000003</v>
      </c>
      <c r="L11" s="50">
        <f>IF(AND(H11&gt;=Year_Open_to_Traffic?, Calculations!H11&lt;Year_Open_to_Traffic?+'Inputs &amp; Outputs'!B$21), 1, 0)</f>
        <v>1</v>
      </c>
      <c r="M11" s="65">
        <f t="shared" si="5"/>
        <v>-4.4913404606901075E-3</v>
      </c>
      <c r="N11" s="71">
        <f t="shared" si="6"/>
        <v>0.63272631763263876</v>
      </c>
      <c r="O11" s="72">
        <f t="shared" si="7"/>
        <v>1</v>
      </c>
      <c r="P11" s="68">
        <f t="shared" si="8"/>
        <v>20293.416000000027</v>
      </c>
      <c r="Q11" s="69">
        <f t="shared" si="0"/>
        <v>1</v>
      </c>
      <c r="R11" s="70">
        <f t="shared" si="1"/>
        <v>20.787565583925574</v>
      </c>
      <c r="S11" s="77">
        <f t="shared" si="2"/>
        <v>586.37249527042036</v>
      </c>
      <c r="T11" s="64">
        <f t="shared" si="9"/>
        <v>365.16332007787793</v>
      </c>
      <c r="W11" s="58"/>
    </row>
    <row r="12" spans="1:24">
      <c r="A12" s="17" t="s">
        <v>123</v>
      </c>
      <c r="B12" s="18">
        <v>0.45</v>
      </c>
      <c r="D12" s="17" t="s">
        <v>124</v>
      </c>
      <c r="E12" s="39">
        <f>(E10/E9)^(1/(2045-2025))-1</f>
        <v>1.5043147207389529E-2</v>
      </c>
      <c r="F12" s="26"/>
      <c r="H12" s="49">
        <v>2026</v>
      </c>
      <c r="I12" s="79">
        <f t="shared" si="10"/>
        <v>7335.7168248678054</v>
      </c>
      <c r="J12" s="50">
        <f t="shared" si="4"/>
        <v>228874.36493587555</v>
      </c>
      <c r="K12" s="50">
        <f>IF(H12=Year_Open_to_Traffic?,Calculations!$E$4,K11+(K11*M12))</f>
        <v>208275.67209164673</v>
      </c>
      <c r="L12" s="50">
        <f>IF(AND(H12&gt;=Year_Open_to_Traffic?, Calculations!H12&lt;Year_Open_to_Traffic?+'Inputs &amp; Outputs'!B$21), 1, 0)</f>
        <v>1</v>
      </c>
      <c r="M12" s="65">
        <f t="shared" ref="M12:M36" si="11">IFERROR(_2025_2045_Demand_Growth,_2018_2045_Demand_Growth)</f>
        <v>1.5043147207389529E-2</v>
      </c>
      <c r="N12" s="71">
        <f t="shared" ref="N12:N36" si="12">N11*(1+IFERROR(_2025_2045_V_C_Growth,_2018_2045_V_C_Growth))</f>
        <v>0.6422445127707761</v>
      </c>
      <c r="O12" s="72">
        <f t="shared" si="7"/>
        <v>1</v>
      </c>
      <c r="P12" s="68">
        <f t="shared" si="8"/>
        <v>20598.692844228819</v>
      </c>
      <c r="Q12" s="69">
        <f t="shared" si="0"/>
        <v>1</v>
      </c>
      <c r="R12" s="70">
        <f t="shared" si="1"/>
        <v>21.265679592355859</v>
      </c>
      <c r="S12" s="77">
        <f t="shared" si="2"/>
        <v>608.88283084494549</v>
      </c>
      <c r="T12" s="64">
        <f t="shared" si="9"/>
        <v>354.37535116509247</v>
      </c>
      <c r="W12" s="58"/>
    </row>
    <row r="13" spans="1:24">
      <c r="A13" s="17" t="s">
        <v>55</v>
      </c>
      <c r="B13" s="18">
        <v>0.43</v>
      </c>
      <c r="D13" s="17" t="s">
        <v>125</v>
      </c>
      <c r="E13" s="39">
        <f>(E10/E8)^(1/(2045-2018))-1</f>
        <v>9.9421433291835282E-3</v>
      </c>
      <c r="F13" s="26"/>
      <c r="H13" s="14">
        <f t="shared" si="3"/>
        <v>2027</v>
      </c>
      <c r="I13" s="79">
        <f t="shared" si="10"/>
        <v>7446.0690929360162</v>
      </c>
      <c r="J13" s="50">
        <f t="shared" si="4"/>
        <v>232317.35569960371</v>
      </c>
      <c r="K13" s="50">
        <f>IF(H13=Year_Open_to_Traffic?,Calculations!$E$4,K12+(K12*M13))</f>
        <v>211408.79368663937</v>
      </c>
      <c r="L13" s="50">
        <f>IF(AND(H13&gt;=Year_Open_to_Traffic?, Calculations!H13&lt;Year_Open_to_Traffic?+'Inputs &amp; Outputs'!B$21), 1, 0)</f>
        <v>1</v>
      </c>
      <c r="M13" s="65">
        <f t="shared" si="11"/>
        <v>1.5043147207389529E-2</v>
      </c>
      <c r="N13" s="71">
        <f t="shared" si="12"/>
        <v>0.65190589151952505</v>
      </c>
      <c r="O13" s="72">
        <f t="shared" si="7"/>
        <v>1</v>
      </c>
      <c r="P13" s="68">
        <f t="shared" si="8"/>
        <v>20908.562012964336</v>
      </c>
      <c r="Q13" s="69">
        <f t="shared" si="0"/>
        <v>1</v>
      </c>
      <c r="R13" s="70">
        <f t="shared" si="1"/>
        <v>21.754790222980041</v>
      </c>
      <c r="S13" s="77">
        <f t="shared" si="2"/>
        <v>632.25731883412971</v>
      </c>
      <c r="T13" s="64">
        <f t="shared" si="9"/>
        <v>343.90608970966713</v>
      </c>
      <c r="W13" s="58"/>
    </row>
    <row r="14" spans="1:24">
      <c r="H14" s="49">
        <f>H13+1</f>
        <v>2028</v>
      </c>
      <c r="I14" s="79">
        <f t="shared" si="10"/>
        <v>7558.0814064174465</v>
      </c>
      <c r="J14" s="50">
        <f t="shared" si="4"/>
        <v>235812.13988022433</v>
      </c>
      <c r="K14" s="50">
        <f>IF(H14=Year_Open_to_Traffic?,Calculations!$E$4,K13+(K13*M14))</f>
        <v>214589.04729100413</v>
      </c>
      <c r="L14" s="50">
        <f>IF(AND(H14&gt;=Year_Open_to_Traffic?, Calculations!H14&lt;Year_Open_to_Traffic?+'Inputs &amp; Outputs'!B$21), 1, 0)</f>
        <v>1</v>
      </c>
      <c r="M14" s="65">
        <f t="shared" si="11"/>
        <v>1.5043147207389529E-2</v>
      </c>
      <c r="N14" s="71">
        <f t="shared" si="12"/>
        <v>0.66171260781101782</v>
      </c>
      <c r="O14" s="72">
        <f t="shared" si="7"/>
        <v>1</v>
      </c>
      <c r="P14" s="68">
        <f t="shared" si="8"/>
        <v>21223.092589220207</v>
      </c>
      <c r="Q14" s="69">
        <f t="shared" si="0"/>
        <v>1</v>
      </c>
      <c r="R14" s="70">
        <f t="shared" si="1"/>
        <v>22.255150398108579</v>
      </c>
      <c r="S14" s="77">
        <f t="shared" si="2"/>
        <v>656.52913330565025</v>
      </c>
      <c r="T14" s="64">
        <f t="shared" si="9"/>
        <v>333.74612018174707</v>
      </c>
      <c r="W14" s="58"/>
    </row>
    <row r="15" spans="1:24">
      <c r="H15" s="14">
        <f t="shared" si="3"/>
        <v>2029</v>
      </c>
      <c r="I15" s="79">
        <f t="shared" si="10"/>
        <v>7671.7787376196175</v>
      </c>
      <c r="J15" s="50">
        <f t="shared" si="4"/>
        <v>239359.49661373207</v>
      </c>
      <c r="K15" s="50">
        <f>IF(H15=Year_Open_to_Traffic?,Calculations!$E$4,K14+(K14*M15))</f>
        <v>217817.14191849617</v>
      </c>
      <c r="L15" s="50">
        <f>IF(AND(H15&gt;=Year_Open_to_Traffic?, Calculations!H15&lt;Year_Open_to_Traffic?+'Inputs &amp; Outputs'!B$21), 1, 0)</f>
        <v>1</v>
      </c>
      <c r="M15" s="65">
        <f t="shared" si="11"/>
        <v>1.5043147207389529E-2</v>
      </c>
      <c r="N15" s="71">
        <f t="shared" si="12"/>
        <v>0.67166684797930454</v>
      </c>
      <c r="O15" s="72">
        <f t="shared" si="7"/>
        <v>1</v>
      </c>
      <c r="P15" s="68">
        <f t="shared" si="8"/>
        <v>21542.354695235903</v>
      </c>
      <c r="Q15" s="69">
        <f t="shared" si="0"/>
        <v>1</v>
      </c>
      <c r="R15" s="70">
        <f t="shared" si="1"/>
        <v>22.767018857265079</v>
      </c>
      <c r="S15" s="77">
        <f t="shared" si="2"/>
        <v>681.73272185109681</v>
      </c>
      <c r="T15" s="64">
        <f t="shared" si="9"/>
        <v>323.88630521315838</v>
      </c>
      <c r="W15" s="58"/>
    </row>
    <row r="16" spans="1:24">
      <c r="H16" s="49">
        <f t="shared" si="3"/>
        <v>2030</v>
      </c>
      <c r="I16" s="79">
        <f t="shared" si="10"/>
        <v>7787.1864345121503</v>
      </c>
      <c r="J16" s="50">
        <f t="shared" si="4"/>
        <v>242960.21675677909</v>
      </c>
      <c r="K16" s="50">
        <f>IF(H16=Year_Open_to_Traffic?,Calculations!$E$4,K15+(K15*M16))</f>
        <v>221093.79724866897</v>
      </c>
      <c r="L16" s="50">
        <f>IF(AND(H16&gt;=Year_Open_to_Traffic?, Calculations!H16&lt;Year_Open_to_Traffic?+'Inputs &amp; Outputs'!B$21), 1, 0)</f>
        <v>1</v>
      </c>
      <c r="M16" s="65">
        <f t="shared" si="11"/>
        <v>1.5043147207389529E-2</v>
      </c>
      <c r="N16" s="71">
        <f t="shared" si="12"/>
        <v>0.6817708312477806</v>
      </c>
      <c r="O16" s="72">
        <f t="shared" si="7"/>
        <v>1</v>
      </c>
      <c r="P16" s="68">
        <f t="shared" si="8"/>
        <v>21866.419508110121</v>
      </c>
      <c r="Q16" s="69">
        <f t="shared" si="0"/>
        <v>1</v>
      </c>
      <c r="R16" s="70">
        <f t="shared" si="1"/>
        <v>23.290660290982171</v>
      </c>
      <c r="S16" s="77">
        <f t="shared" si="2"/>
        <v>707.90385447546259</v>
      </c>
      <c r="T16" s="64">
        <f t="shared" si="9"/>
        <v>314.31777737971851</v>
      </c>
      <c r="W16" s="58"/>
    </row>
    <row r="17" spans="1:23">
      <c r="A17" s="27"/>
      <c r="H17" s="14">
        <f t="shared" si="3"/>
        <v>2031</v>
      </c>
      <c r="I17" s="79">
        <f t="shared" si="10"/>
        <v>7904.3302263779033</v>
      </c>
      <c r="J17" s="50">
        <f t="shared" si="4"/>
        <v>246615.10306299059</v>
      </c>
      <c r="K17" s="50">
        <f>IF(H17=Year_Open_to_Traffic?,Calculations!$E$4,K16+(K16*M17))</f>
        <v>224419.74378732144</v>
      </c>
      <c r="L17" s="50">
        <f>IF(AND(H17&gt;=Year_Open_to_Traffic?, Calculations!H17&lt;Year_Open_to_Traffic?+'Inputs &amp; Outputs'!B$21), 1, 0)</f>
        <v>1</v>
      </c>
      <c r="M17" s="65">
        <f t="shared" si="11"/>
        <v>1.5043147207389529E-2</v>
      </c>
      <c r="N17" s="71">
        <f t="shared" si="12"/>
        <v>0.6920268102239453</v>
      </c>
      <c r="O17" s="72">
        <f t="shared" si="7"/>
        <v>1</v>
      </c>
      <c r="P17" s="68">
        <f t="shared" si="8"/>
        <v>22195.359275669151</v>
      </c>
      <c r="Q17" s="69">
        <f t="shared" si="0"/>
        <v>1</v>
      </c>
      <c r="R17" s="70">
        <f t="shared" si="1"/>
        <v>23.82634547767476</v>
      </c>
      <c r="S17" s="77">
        <f t="shared" si="2"/>
        <v>735.07967436345655</v>
      </c>
      <c r="T17" s="64">
        <f t="shared" si="9"/>
        <v>305.03193122631774</v>
      </c>
      <c r="W17" s="58"/>
    </row>
    <row r="18" spans="1:23">
      <c r="H18" s="49">
        <f t="shared" si="3"/>
        <v>2032</v>
      </c>
      <c r="I18" s="79">
        <f t="shared" si="10"/>
        <v>8023.2362295491248</v>
      </c>
      <c r="J18" s="50">
        <f t="shared" si="4"/>
        <v>250324.9703619327</v>
      </c>
      <c r="K18" s="50">
        <f>IF(H18=Year_Open_to_Traffic?,Calculations!$E$4,K17+(K17*M18))</f>
        <v>227795.72302935875</v>
      </c>
      <c r="L18" s="50">
        <f>IF(AND(H18&gt;=Year_Open_to_Traffic?, Calculations!H18&lt;Year_Open_to_Traffic?+'Inputs &amp; Outputs'!B$21), 1, 0)</f>
        <v>1</v>
      </c>
      <c r="M18" s="65">
        <f t="shared" si="11"/>
        <v>1.5043147207389529E-2</v>
      </c>
      <c r="N18" s="71">
        <f t="shared" si="12"/>
        <v>0.70243707140160427</v>
      </c>
      <c r="O18" s="72">
        <f t="shared" si="7"/>
        <v>1</v>
      </c>
      <c r="P18" s="68">
        <f t="shared" si="8"/>
        <v>22529.247332573956</v>
      </c>
      <c r="Q18" s="69">
        <f t="shared" si="0"/>
        <v>1</v>
      </c>
      <c r="R18" s="70">
        <f t="shared" si="1"/>
        <v>24.374351423661277</v>
      </c>
      <c r="S18" s="77">
        <f t="shared" si="2"/>
        <v>763.29875059468998</v>
      </c>
      <c r="T18" s="64">
        <f t="shared" si="9"/>
        <v>296.02041552760386</v>
      </c>
      <c r="W18" s="58"/>
    </row>
    <row r="19" spans="1:23">
      <c r="H19" s="14">
        <f t="shared" si="3"/>
        <v>2033</v>
      </c>
      <c r="I19" s="79">
        <f t="shared" si="10"/>
        <v>8143.930953229893</v>
      </c>
      <c r="J19" s="50">
        <f t="shared" si="4"/>
        <v>254090.64574077268</v>
      </c>
      <c r="K19" s="50">
        <f>IF(H19=Year_Open_to_Traffic?,Calculations!$E$4,K18+(K18*M19))</f>
        <v>231222.48762410312</v>
      </c>
      <c r="L19" s="50">
        <f>IF(AND(H19&gt;=Year_Open_to_Traffic?, Calculations!H19&lt;Year_Open_to_Traffic?+'Inputs &amp; Outputs'!B$21), 1, 0)</f>
        <v>1</v>
      </c>
      <c r="M19" s="65">
        <f t="shared" si="11"/>
        <v>1.5043147207389529E-2</v>
      </c>
      <c r="N19" s="71">
        <f t="shared" si="12"/>
        <v>0.71300393567062614</v>
      </c>
      <c r="O19" s="72">
        <f t="shared" si="7"/>
        <v>1</v>
      </c>
      <c r="P19" s="68">
        <f t="shared" si="8"/>
        <v>22868.158116669569</v>
      </c>
      <c r="Q19" s="69">
        <f t="shared" si="0"/>
        <v>1</v>
      </c>
      <c r="R19" s="70">
        <f t="shared" si="1"/>
        <v>24.934961506405479</v>
      </c>
      <c r="S19" s="77">
        <f t="shared" si="2"/>
        <v>792.60113288255411</v>
      </c>
      <c r="T19" s="64">
        <f t="shared" si="9"/>
        <v>287.27512577730676</v>
      </c>
      <c r="W19" s="58"/>
    </row>
    <row r="20" spans="1:23">
      <c r="H20" s="49">
        <f t="shared" si="3"/>
        <v>2034</v>
      </c>
      <c r="I20" s="79">
        <f t="shared" si="10"/>
        <v>8266.4413054061461</v>
      </c>
      <c r="J20" s="50">
        <f t="shared" si="4"/>
        <v>257912.96872867178</v>
      </c>
      <c r="K20" s="50">
        <f>IF(H20=Year_Open_to_Traffic?,Calculations!$E$4,K19+(K19*M20))</f>
        <v>234700.80154309131</v>
      </c>
      <c r="L20" s="50">
        <f>IF(AND(H20&gt;=Year_Open_to_Traffic?, Calculations!H20&lt;Year_Open_to_Traffic?+'Inputs &amp; Outputs'!B$21), 1, 0)</f>
        <v>1</v>
      </c>
      <c r="M20" s="65">
        <f t="shared" si="11"/>
        <v>1.5043147207389529E-2</v>
      </c>
      <c r="N20" s="71">
        <f t="shared" si="12"/>
        <v>0.72372975883436752</v>
      </c>
      <c r="O20" s="72">
        <f t="shared" si="7"/>
        <v>1</v>
      </c>
      <c r="P20" s="68">
        <f t="shared" si="8"/>
        <v>23212.167185580474</v>
      </c>
      <c r="Q20" s="69">
        <f t="shared" si="0"/>
        <v>1</v>
      </c>
      <c r="R20" s="70">
        <f t="shared" si="1"/>
        <v>25.508465621052807</v>
      </c>
      <c r="S20" s="77">
        <f t="shared" si="2"/>
        <v>823.02840841447835</v>
      </c>
      <c r="T20" s="64">
        <f t="shared" si="9"/>
        <v>278.78819689945243</v>
      </c>
      <c r="W20" s="58"/>
    </row>
    <row r="21" spans="1:23">
      <c r="H21" s="14">
        <f t="shared" si="3"/>
        <v>2035</v>
      </c>
      <c r="I21" s="79">
        <f t="shared" si="10"/>
        <v>8390.7945988446154</v>
      </c>
      <c r="J21" s="50">
        <f t="shared" si="4"/>
        <v>261792.79148395205</v>
      </c>
      <c r="K21" s="50">
        <f>IF(H21=Year_Open_to_Traffic?,Calculations!$E$4,K20+(K20*M21))</f>
        <v>238231.44025039635</v>
      </c>
      <c r="L21" s="50">
        <f>IF(AND(H21&gt;=Year_Open_to_Traffic?, Calculations!H21&lt;Year_Open_to_Traffic?+'Inputs &amp; Outputs'!B$21), 1, 0)</f>
        <v>1</v>
      </c>
      <c r="M21" s="65">
        <f t="shared" si="11"/>
        <v>1.5043147207389529E-2</v>
      </c>
      <c r="N21" s="71">
        <f t="shared" si="12"/>
        <v>0.73461693213488144</v>
      </c>
      <c r="O21" s="72">
        <f t="shared" si="7"/>
        <v>1</v>
      </c>
      <c r="P21" s="68">
        <f t="shared" si="8"/>
        <v>23561.351233555702</v>
      </c>
      <c r="Q21" s="69">
        <f t="shared" si="0"/>
        <v>1</v>
      </c>
      <c r="R21" s="70">
        <f t="shared" si="1"/>
        <v>26.095160330337016</v>
      </c>
      <c r="S21" s="77">
        <f t="shared" si="2"/>
        <v>854.62376087423763</v>
      </c>
      <c r="T21" s="64">
        <f t="shared" si="9"/>
        <v>270.55199617490723</v>
      </c>
      <c r="W21" s="58"/>
    </row>
    <row r="22" spans="1:23">
      <c r="H22" s="49">
        <f>H21+1</f>
        <v>2036</v>
      </c>
      <c r="I22" s="79">
        <f t="shared" si="10"/>
        <v>8517.0185571820039</v>
      </c>
      <c r="J22" s="50">
        <f t="shared" si="4"/>
        <v>265730.97898407857</v>
      </c>
      <c r="K22" s="50">
        <f>IF(H22=Year_Open_to_Traffic?,Calculations!$E$4,K21+(K21*M22))</f>
        <v>241815.1908755115</v>
      </c>
      <c r="L22" s="50">
        <f>IF(AND(H22&gt;=Year_Open_to_Traffic?, Calculations!H22&lt;Year_Open_to_Traffic?+'Inputs &amp; Outputs'!B$21), 1, 0)</f>
        <v>1</v>
      </c>
      <c r="M22" s="65">
        <f t="shared" si="11"/>
        <v>1.5043147207389529E-2</v>
      </c>
      <c r="N22" s="71">
        <f t="shared" si="12"/>
        <v>0.74566788278602736</v>
      </c>
      <c r="O22" s="72">
        <f t="shared" si="7"/>
        <v>1</v>
      </c>
      <c r="P22" s="68">
        <f t="shared" si="8"/>
        <v>23915.788108567067</v>
      </c>
      <c r="Q22" s="69">
        <f t="shared" si="0"/>
        <v>1</v>
      </c>
      <c r="R22" s="70">
        <f t="shared" si="1"/>
        <v>26.695349017934767</v>
      </c>
      <c r="S22" s="77">
        <f t="shared" si="2"/>
        <v>887.43203173006873</v>
      </c>
      <c r="T22" s="64">
        <f t="shared" si="9"/>
        <v>262.55911637689098</v>
      </c>
      <c r="W22" s="58"/>
    </row>
    <row r="23" spans="1:23">
      <c r="H23" s="14">
        <f t="shared" si="3"/>
        <v>2037</v>
      </c>
      <c r="I23" s="79">
        <f t="shared" si="10"/>
        <v>8645.1413211057607</v>
      </c>
      <c r="J23" s="50">
        <f t="shared" si="4"/>
        <v>269728.40921849979</v>
      </c>
      <c r="K23" s="50">
        <f>IF(H23=Year_Open_to_Traffic?,Calculations!$E$4,K22+(K22*M23))</f>
        <v>245452.85238883481</v>
      </c>
      <c r="L23" s="50">
        <f>IF(AND(H23&gt;=Year_Open_to_Traffic?, Calculations!H23&lt;Year_Open_to_Traffic?+'Inputs &amp; Outputs'!B$21), 1, 0)</f>
        <v>1</v>
      </c>
      <c r="M23" s="65">
        <f t="shared" si="11"/>
        <v>1.5043147207389529E-2</v>
      </c>
      <c r="N23" s="71">
        <f t="shared" si="12"/>
        <v>0.75688507451460008</v>
      </c>
      <c r="O23" s="72">
        <f t="shared" si="7"/>
        <v>1</v>
      </c>
      <c r="P23" s="68">
        <f t="shared" si="8"/>
        <v>24275.556829664973</v>
      </c>
      <c r="Q23" s="69">
        <f t="shared" si="0"/>
        <v>1</v>
      </c>
      <c r="R23" s="70">
        <f t="shared" si="1"/>
        <v>27.309342045347261</v>
      </c>
      <c r="S23" s="77">
        <f t="shared" si="2"/>
        <v>921.4997838755952</v>
      </c>
      <c r="T23" s="64">
        <f t="shared" si="9"/>
        <v>254.80236910928969</v>
      </c>
      <c r="W23" s="58"/>
    </row>
    <row r="24" spans="1:23">
      <c r="H24" s="49">
        <f t="shared" si="3"/>
        <v>2038</v>
      </c>
      <c r="I24" s="79">
        <f t="shared" si="10"/>
        <v>8775.1914546278404</v>
      </c>
      <c r="J24" s="50">
        <f t="shared" si="4"/>
        <v>273785.97338438866</v>
      </c>
      <c r="K24" s="50">
        <f>IF(H24=Year_Open_to_Traffic?,Calculations!$E$4,K23+(K23*M24))</f>
        <v>249145.2357797937</v>
      </c>
      <c r="L24" s="50">
        <f>IF(AND(H24&gt;=Year_Open_to_Traffic?, Calculations!H24&lt;Year_Open_to_Traffic?+'Inputs &amp; Outputs'!B$21), 1, 0)</f>
        <v>1</v>
      </c>
      <c r="M24" s="65">
        <f t="shared" si="11"/>
        <v>1.5043147207389529E-2</v>
      </c>
      <c r="N24" s="71">
        <f t="shared" si="12"/>
        <v>0.76827100810959925</v>
      </c>
      <c r="O24" s="72">
        <f t="shared" si="7"/>
        <v>1</v>
      </c>
      <c r="P24" s="68">
        <f>(J24-K24)*L24</f>
        <v>24640.737604594964</v>
      </c>
      <c r="Q24" s="69">
        <f t="shared" si="0"/>
        <v>1</v>
      </c>
      <c r="R24" s="70">
        <f t="shared" si="1"/>
        <v>27.93745691239025</v>
      </c>
      <c r="S24" s="77">
        <f t="shared" si="2"/>
        <v>956.87536771386124</v>
      </c>
      <c r="T24" s="64">
        <f t="shared" si="9"/>
        <v>247.27477834176995</v>
      </c>
      <c r="W24" s="58"/>
    </row>
    <row r="25" spans="1:23">
      <c r="H25" s="14">
        <f t="shared" si="3"/>
        <v>2039</v>
      </c>
      <c r="I25" s="79">
        <f t="shared" si="10"/>
        <v>8907.1979514528339</v>
      </c>
      <c r="J25" s="50">
        <f t="shared" si="4"/>
        <v>277904.57608532847</v>
      </c>
      <c r="K25" s="50">
        <f>IF(H25=Year_Open_to_Traffic?,Calculations!$E$4,K24+(K24*M25))</f>
        <v>252893.16423764892</v>
      </c>
      <c r="L25" s="50">
        <f>IF(AND(H25&gt;=Year_Open_to_Traffic?, Calculations!H25&lt;Year_Open_to_Traffic?+'Inputs &amp; Outputs'!B$21), 1, 0)</f>
        <v>1</v>
      </c>
      <c r="M25" s="65">
        <f t="shared" si="11"/>
        <v>1.5043147207389529E-2</v>
      </c>
      <c r="N25" s="71">
        <f t="shared" si="12"/>
        <v>0.77982822197976154</v>
      </c>
      <c r="O25" s="72">
        <f t="shared" si="7"/>
        <v>1</v>
      </c>
      <c r="P25" s="68">
        <f t="shared" si="8"/>
        <v>25011.411847679556</v>
      </c>
      <c r="Q25" s="69">
        <f t="shared" si="0"/>
        <v>1</v>
      </c>
      <c r="R25" s="70">
        <f t="shared" si="1"/>
        <v>28.580018421375218</v>
      </c>
      <c r="S25" s="77">
        <f t="shared" si="2"/>
        <v>993.60898977828481</v>
      </c>
      <c r="T25" s="64">
        <f t="shared" si="9"/>
        <v>239.96957413588765</v>
      </c>
      <c r="W25" s="58"/>
    </row>
    <row r="26" spans="1:23">
      <c r="H26" s="49">
        <f t="shared" si="3"/>
        <v>2040</v>
      </c>
      <c r="I26" s="79">
        <f t="shared" si="10"/>
        <v>9041.1902414418964</v>
      </c>
      <c r="J26" s="50">
        <f t="shared" si="4"/>
        <v>282085.13553298725</v>
      </c>
      <c r="K26" s="50">
        <f>IF(H26=Year_Open_to_Traffic?,Calculations!$E$4,K25+(K25*M26))</f>
        <v>256697.47333501841</v>
      </c>
      <c r="L26" s="50">
        <f>IF(AND(H26&gt;=Year_Open_to_Traffic?, Calculations!H26&lt;Year_Open_to_Traffic?+'Inputs &amp; Outputs'!B$21), 1, 0)</f>
        <v>1</v>
      </c>
      <c r="M26" s="65">
        <f t="shared" si="11"/>
        <v>1.5043147207389529E-2</v>
      </c>
      <c r="N26" s="71">
        <f t="shared" si="12"/>
        <v>0.79155929271947989</v>
      </c>
      <c r="O26" s="72">
        <f t="shared" si="7"/>
        <v>1</v>
      </c>
      <c r="P26" s="68">
        <f t="shared" si="8"/>
        <v>25387.662197968835</v>
      </c>
      <c r="Q26" s="69">
        <f t="shared" si="0"/>
        <v>1</v>
      </c>
      <c r="R26" s="70">
        <f t="shared" si="1"/>
        <v>29.237358845066851</v>
      </c>
      <c r="S26" s="77">
        <f t="shared" si="2"/>
        <v>1031.7527839879012</v>
      </c>
      <c r="T26" s="64">
        <f t="shared" si="9"/>
        <v>232.88018655654321</v>
      </c>
      <c r="W26" s="58"/>
    </row>
    <row r="27" spans="1:23">
      <c r="H27" s="14">
        <f t="shared" si="3"/>
        <v>2041</v>
      </c>
      <c r="I27" s="79">
        <f t="shared" si="10"/>
        <v>9177.1981971739206</v>
      </c>
      <c r="J27" s="50">
        <f t="shared" si="4"/>
        <v>286328.58375182637</v>
      </c>
      <c r="K27" s="50">
        <f>IF(H27=Year_Open_to_Traffic?,Calculations!$E$4,K26+(K26*M27))</f>
        <v>260559.01121416205</v>
      </c>
      <c r="L27" s="50">
        <f>IF(AND(H27&gt;=Year_Open_to_Traffic?, Calculations!H27&lt;Year_Open_to_Traffic?+'Inputs &amp; Outputs'!B$21), 1, 0)</f>
        <v>1</v>
      </c>
      <c r="M27" s="65">
        <f t="shared" si="11"/>
        <v>1.5043147207389529E-2</v>
      </c>
      <c r="N27" s="71">
        <f t="shared" si="12"/>
        <v>0.80346683568323618</v>
      </c>
      <c r="O27" s="72">
        <f t="shared" si="7"/>
        <v>1</v>
      </c>
      <c r="P27" s="68">
        <f t="shared" si="8"/>
        <v>25769.572537664324</v>
      </c>
      <c r="Q27" s="69">
        <f t="shared" si="0"/>
        <v>1</v>
      </c>
      <c r="R27" s="70">
        <f t="shared" si="1"/>
        <v>29.909818098503379</v>
      </c>
      <c r="S27" s="77">
        <f t="shared" si="2"/>
        <v>1071.360885638042</v>
      </c>
      <c r="T27" s="64">
        <f t="shared" si="9"/>
        <v>226.00023976331119</v>
      </c>
      <c r="W27" s="58"/>
    </row>
    <row r="28" spans="1:23">
      <c r="H28" s="49">
        <f t="shared" si="3"/>
        <v>2042</v>
      </c>
      <c r="I28" s="79">
        <f t="shared" si="10"/>
        <v>9315.2521406053984</v>
      </c>
      <c r="J28" s="50">
        <f t="shared" si="4"/>
        <v>290635.86678688845</v>
      </c>
      <c r="K28" s="50">
        <f>IF(H28=Year_Open_to_Traffic?,Calculations!$E$4,K27+(K27*M28))</f>
        <v>264478.63877606858</v>
      </c>
      <c r="L28" s="50">
        <f>IF(AND(H28&gt;=Year_Open_to_Traffic?, Calculations!H28&lt;Year_Open_to_Traffic?+'Inputs &amp; Outputs'!B$21), 1, 0)</f>
        <v>0</v>
      </c>
      <c r="M28" s="65">
        <f t="shared" si="11"/>
        <v>1.5043147207389529E-2</v>
      </c>
      <c r="N28" s="71">
        <f t="shared" si="12"/>
        <v>0.81555350556867456</v>
      </c>
      <c r="O28" s="72">
        <f t="shared" si="7"/>
        <v>1</v>
      </c>
      <c r="P28" s="68">
        <f t="shared" si="8"/>
        <v>0</v>
      </c>
      <c r="Q28" s="69">
        <f t="shared" si="0"/>
        <v>0</v>
      </c>
      <c r="R28" s="70">
        <f t="shared" si="1"/>
        <v>30.597743914768959</v>
      </c>
      <c r="S28" s="77">
        <f t="shared" si="2"/>
        <v>0</v>
      </c>
      <c r="T28" s="64">
        <f t="shared" si="9"/>
        <v>0</v>
      </c>
      <c r="W28" s="58"/>
    </row>
    <row r="29" spans="1:23">
      <c r="H29" s="14">
        <f t="shared" si="3"/>
        <v>2043</v>
      </c>
      <c r="I29" s="79">
        <f t="shared" si="10"/>
        <v>9455.3828498304756</v>
      </c>
      <c r="J29" s="50">
        <f t="shared" si="4"/>
        <v>295007.94491471088</v>
      </c>
      <c r="K29" s="50">
        <f>IF(H29=Year_Open_to_Traffic?,Calculations!$E$4,K28+(K28*M29))</f>
        <v>268457.22987238696</v>
      </c>
      <c r="L29" s="50">
        <f>IF(AND(H29&gt;=Year_Open_to_Traffic?, Calculations!H29&lt;Year_Open_to_Traffic?+'Inputs &amp; Outputs'!B$21), 1, 0)</f>
        <v>0</v>
      </c>
      <c r="M29" s="65">
        <f t="shared" si="11"/>
        <v>1.5043147207389529E-2</v>
      </c>
      <c r="N29" s="71">
        <f t="shared" si="12"/>
        <v>0.82782199700844672</v>
      </c>
      <c r="O29" s="72">
        <f t="shared" si="7"/>
        <v>1</v>
      </c>
      <c r="P29" s="68">
        <f t="shared" si="8"/>
        <v>0</v>
      </c>
      <c r="Q29" s="69">
        <f t="shared" si="0"/>
        <v>0</v>
      </c>
      <c r="R29" s="70">
        <f t="shared" si="1"/>
        <v>31.301492024808638</v>
      </c>
      <c r="S29" s="77">
        <f t="shared" si="2"/>
        <v>0</v>
      </c>
      <c r="T29" s="64">
        <f t="shared" si="9"/>
        <v>0</v>
      </c>
      <c r="W29" s="58"/>
    </row>
    <row r="30" spans="1:23">
      <c r="H30" s="14">
        <f t="shared" si="3"/>
        <v>2044</v>
      </c>
      <c r="I30" s="79">
        <f t="shared" si="10"/>
        <v>9597.6215659427016</v>
      </c>
      <c r="J30" s="50">
        <f t="shared" si="4"/>
        <v>299445.79285741237</v>
      </c>
      <c r="K30" s="50">
        <f>IF(H30=Year_Open_to_Traffic?,Calculations!$E$4,K29+(K29*M30))</f>
        <v>272495.67150024528</v>
      </c>
      <c r="L30" s="50">
        <f>IF(AND(H30&gt;=Year_Open_to_Traffic?, Calculations!H30&lt;Year_Open_to_Traffic?+'Inputs &amp; Outputs'!B$21), 1, 0)</f>
        <v>0</v>
      </c>
      <c r="M30" s="65">
        <f t="shared" si="11"/>
        <v>1.5043147207389529E-2</v>
      </c>
      <c r="N30" s="71">
        <f t="shared" si="12"/>
        <v>0.84027504517095997</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9741.9999999999945</v>
      </c>
      <c r="J31" s="50">
        <f t="shared" si="4"/>
        <v>303950.39999999991</v>
      </c>
      <c r="K31" s="50">
        <f>IF(H31=Year_Open_to_Traffic?,Calculations!$E$4,K30+(K30*M31))</f>
        <v>276594.86399999994</v>
      </c>
      <c r="L31" s="50">
        <f>IF(AND(H31&gt;=Year_Open_to_Traffic?, Calculations!H31&lt;Year_Open_to_Traffic?+'Inputs &amp; Outputs'!B$21), 1, 0)</f>
        <v>0</v>
      </c>
      <c r="M31" s="65">
        <f t="shared" si="11"/>
        <v>1.5043147207389529E-2</v>
      </c>
      <c r="N31" s="71">
        <f t="shared" si="12"/>
        <v>0.8529154263701626</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9888.5503400943835</v>
      </c>
      <c r="J32" s="50">
        <f t="shared" si="4"/>
        <v>308522.77061094483</v>
      </c>
      <c r="K32" s="50">
        <f>IF(H32=Year_Open_to_Traffic?,Calculations!$E$4,K31+(K31*M32))</f>
        <v>280755.72125595983</v>
      </c>
      <c r="L32" s="50">
        <f>IF(AND(H32&gt;=Year_Open_to_Traffic?, Calculations!H32&lt;Year_Open_to_Traffic?+'Inputs &amp; Outputs'!B$21), 1, 0)</f>
        <v>0</v>
      </c>
      <c r="M32" s="65">
        <f t="shared" si="11"/>
        <v>1.5043147207389529E-2</v>
      </c>
      <c r="N32" s="71">
        <f t="shared" si="12"/>
        <v>0.86574595868450233</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10037.305258528106</v>
      </c>
      <c r="J33" s="50">
        <f t="shared" si="4"/>
        <v>313163.92406607693</v>
      </c>
      <c r="K33" s="50">
        <f>IF(H33=Year_Open_to_Traffic?,Calculations!$E$4,K32+(K32*M33))</f>
        <v>284979.17090013006</v>
      </c>
      <c r="L33" s="50">
        <f>IF(AND(H33&gt;=Year_Open_to_Traffic?, Calculations!H33&lt;Year_Open_to_Traffic?+'Inputs &amp; Outputs'!B$21), 1, 0)</f>
        <v>0</v>
      </c>
      <c r="M33" s="65">
        <f t="shared" si="11"/>
        <v>1.5043147207389529E-2</v>
      </c>
      <c r="N33" s="71">
        <f t="shared" si="12"/>
        <v>0.87876950258519582</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10188.297919097649</v>
      </c>
      <c r="J34" s="50">
        <f t="shared" si="4"/>
        <v>317874.8950758467</v>
      </c>
      <c r="K34" s="50">
        <f>IF(H34=Year_Open_to_Traffic?,Calculations!$E$4,K33+(K33*M34))</f>
        <v>289266.15451902052</v>
      </c>
      <c r="L34" s="50">
        <f>IF(AND(H34&gt;=Year_Open_to_Traffic?, Calculations!H34&lt;Year_Open_to_Traffic?+'Inputs &amp; Outputs'!B$21), 1, 0)</f>
        <v>0</v>
      </c>
      <c r="M34" s="65">
        <f t="shared" si="11"/>
        <v>1.5043147207389529E-2</v>
      </c>
      <c r="N34" s="71">
        <f t="shared" si="12"/>
        <v>0.89198896157394936</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10341.561984487376</v>
      </c>
      <c r="J35" s="50">
        <f t="shared" si="4"/>
        <v>322656.73391600617</v>
      </c>
      <c r="K35" s="50">
        <f>IF(H35=Year_Open_to_Traffic?,Calculations!$E$4,K34+(K34*M35))</f>
        <v>293617.62786356563</v>
      </c>
      <c r="L35" s="50">
        <f>IF(AND(H35&gt;=Year_Open_to_Traffic?, Calculations!H35&lt;Year_Open_to_Traffic?+'Inputs &amp; Outputs'!B$21), 1, 0)</f>
        <v>0</v>
      </c>
      <c r="M35" s="65">
        <f t="shared" si="11"/>
        <v>1.5043147207389529E-2</v>
      </c>
      <c r="N35" s="71">
        <f t="shared" si="12"/>
        <v>0.90540728283027283</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10497.131623774363</v>
      </c>
      <c r="J36" s="50">
        <f t="shared" si="4"/>
        <v>327510.50666176016</v>
      </c>
      <c r="K36" s="50">
        <f>IF(H36=Year_Open_to_Traffic?,Calculations!$E$4,K35+(K35*M36))</f>
        <v>298034.56106220174</v>
      </c>
      <c r="L36" s="50">
        <f>IF(AND(H36&gt;=Year_Open_to_Traffic?, Calculations!H36&lt;Year_Open_to_Traffic?+'Inputs &amp; Outputs'!B$21), 1, 0)</f>
        <v>0</v>
      </c>
      <c r="M36" s="65">
        <f t="shared" si="11"/>
        <v>1.5043147207389529E-2</v>
      </c>
      <c r="N36" s="71">
        <f t="shared" si="12"/>
        <v>0.91902745786853124</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6146.8351643316391</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73</v>
      </c>
      <c r="C6" s="81">
        <v>0.3</v>
      </c>
      <c r="D6" s="74">
        <v>0.2</v>
      </c>
      <c r="E6" s="74">
        <v>0.1</v>
      </c>
      <c r="F6" s="74">
        <v>0.3</v>
      </c>
      <c r="G6" s="91">
        <v>0.2</v>
      </c>
      <c r="H6" s="93"/>
      <c r="L6" s="44" t="s">
        <v>158</v>
      </c>
      <c r="N6" s="44" t="s">
        <v>55</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163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52</v>
      </c>
    </row>
    <row r="11" spans="2:14">
      <c r="B11" s="73" t="s">
        <v>166</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b691747-8bc2-4259-b27e-e7a3fc70b31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E4AA07-7CA2-4742-AB82-9B5A39039AA0}"/>
</file>

<file path=customXml/itemProps2.xml><?xml version="1.0" encoding="utf-8"?>
<ds:datastoreItem xmlns:ds="http://schemas.openxmlformats.org/officeDocument/2006/customXml" ds:itemID="{8B8F3860-1D03-4821-B084-AB37C29F295C}"/>
</file>

<file path=customXml/itemProps3.xml><?xml version="1.0" encoding="utf-8"?>
<ds:datastoreItem xmlns:ds="http://schemas.openxmlformats.org/officeDocument/2006/customXml" ds:itemID="{33C6E79F-F7CF-403B-BCAB-649367FE133D}"/>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y fmtid="{D5CDD505-2E9C-101B-9397-08002B2CF9AE}" pid="3" name="Order">
    <vt:r8>91900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