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146\"/>
    </mc:Choice>
  </mc:AlternateContent>
  <bookViews>
    <workbookView xWindow="0" yWindow="0" windowWidth="28800" windowHeight="152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<sst xmlns="http://schemas.openxmlformats.org/spreadsheetml/2006/main" count="440" uniqueCount="285">
  <si>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</si>
  <si>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</si>
  <si>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</si>
  <si>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</si>
  <si>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</si>
  <si>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</si>
  <si>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</si>
  <si>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</si>
  <si>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</si>
  <si>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</si>
  <si>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</si>
  <si>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</si>
  <si>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</si>
  <si>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</si>
  <si>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</si>
  <si>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</si>
  <si>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</si>
  <si>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</si>
  <si>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</si>
  <si>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</si>
  <si>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</si>
  <si>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</si>
  <si>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</si>
  <si>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</si>
  <si>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</si>
  <si>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</si>
  <si>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</si>
  <si>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</si>
  <si>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</si>
  <si>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</si>
  <si>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</si>
  <si>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</si>
  <si>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</si>
  <si>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</si>
  <si>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</si>
  <si>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</si>
  <si>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</si>
  <si>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</si>
  <si>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</si>
  <si>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</si>
  <si>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</si>
  <si>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</si>
  <si>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</si>
  <si>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</si>
  <si>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</si>
  <si>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</si>
  <si>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</si>
  <si>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</si>
  <si>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</si>
  <si>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</si>
  <si>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</si>
  <si>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</si>
  <si>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</si>
  <si>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</si>
  <si>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</si>
  <si>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</si>
  <si>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</si>
  <si>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</si>
  <si>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</si>
  <si>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</si>
  <si>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</si>
  <si>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</si>
  <si>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</si>
  <si>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</si>
  <si>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</si>
  <si>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</si>
  <si>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</si>
  <si>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</si>
  <si>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</si>
  <si>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</si>
  <si>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</si>
  <si>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</si>
  <si>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</si>
  <si>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</si>
  <si>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</si>
  <si>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</si>
  <si>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</si>
  <si>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</si>
  <si>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</si>
  <si>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</si>
  <si>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</si>
  <si>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</si>
  <si>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</si>
  <si>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</si>
  <si>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</si>
  <si>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</si>
  <si>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</si>
  <si>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</si>
  <si>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</si>
  <si>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</si>
  <si>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</si>
  <si>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</si>
  <si>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</si>
  <si>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</si>
  <si>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</si>
  <si>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</si>
  <si>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</si>
  <si>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</si>
  <si>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</si>
  <si>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</si>
  <si>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</si>
  <si>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</si>
  <si>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</si>
  <si>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</si>
  <si>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</si>
  <si>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</si>
  <si>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</si>
  <si>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</si>
  <si>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</si>
  <si>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</si>
  <si>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</si>
  <si>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</si>
  <si>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</si>
  <si>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</si>
  <si>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</si>
  <si>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</si>
  <si>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</si>
  <si>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</si>
  <si>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</si>
  <si>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</si>
  <si>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</si>
  <si>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</si>
  <si>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</si>
  <si>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</si>
  <si>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</si>
  <si>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</si>
  <si>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</si>
  <si>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</si>
  <si>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</si>
  <si>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</si>
  <si>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</si>
  <si>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</si>
  <si>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</si>
  <si>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</si>
  <si>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</si>
  <si>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</si>
  <si>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</si>
  <si>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</si>
  <si>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</si>
  <si>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</si>
  <si>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</si>
  <si>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</si>
  <si>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</si>
  <si>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</si>
  <si>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</si>
  <si>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</si>
  <si>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</si>
  <si>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</si>
  <si>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</si>
  <si>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</si>
  <si>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</si>
  <si>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</si>
  <si>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</si>
  <si>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</si>
  <si>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</si>
  <si>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</si>
  <si>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</si>
  <si>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</si>
  <si>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</si>
  <si>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</si>
  <si>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</si>
  <si>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</si>
  <si>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</si>
  <si>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</si>
  <si>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</si>
  <si>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</si>
  <si>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</si>
  <si>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</si>
  <si>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</si>
  <si>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</si>
  <si>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</si>
  <si>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</si>
  <si>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</si>
  <si>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</si>
  <si>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</si>
  <si>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</si>
  <si>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</si>
  <si>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</si>
  <si>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</si>
  <si>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</si>
  <si>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</si>
  <si>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</si>
  <si>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</si>
  <si>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</si>
  <si>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</si>
  <si>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</si>
  <si>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</si>
  <si>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</si>
  <si>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</si>
  <si>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</si>
  <si>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</si>
  <si>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</si>
  <si>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</si>
  <si>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</si>
  <si>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</si>
  <si>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</si>
  <si>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</si>
  <si>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</si>
  <si>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</si>
  <si>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</si>
  <si>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</si>
  <si>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</si>
  <si>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</si>
  <si>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</si>
  <si>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</si>
  <si>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</si>
  <si>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</si>
  <si>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</si>
  <si>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</si>
  <si>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</si>
  <si>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</si>
  <si>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</si>
  <si>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</si>
  <si>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</si>
  <si>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</si>
  <si>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</si>
  <si>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</si>
  <si>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</si>
  <si>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</si>
  <si>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</si>
  <si>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</si>
  <si>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</si>
  <si>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</si>
  <si>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</si>
  <si>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</si>
  <si>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</si>
  <si>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</si>
  <si>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</si>
  <si>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</si>
  <si>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</si>
  <si>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</si>
  <si>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</si>
  <si>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</si>
  <si>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</si>
  <si>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</si>
  <si>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</si>
  <si>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</si>
  <si>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</si>
  <si>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</si>
  <si>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</si>
  <si>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</si>
  <si>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</si>
  <si>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</si>
  <si>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</si>
  <si>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</si>
  <si>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</si>
  <si>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</si>
  <si>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</si>
  <si>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</si>
  <si>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</si>
  <si>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</si>
  <si>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</si>
  <si>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</si>
  <si>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</si>
  <si>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</si>
  <si>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</si>
  <si>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</si>
  <si>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</si>
  <si>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</si>
  <si>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</si>
  <si>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</si>
  <si>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</si>
  <si>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</si>
  <si>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</si>
  <si>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</si>
  <si>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</si>
  <si>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</si>
  <si>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</si>
  <si>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</si>
  <si>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</si>
  <si>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</si>
  <si>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</si>
  <si>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</si>
  <si>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</si>
  <si>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</si>
  <si>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</si>
  <si>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</si>
  <si>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</si>
  <si>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</si>
  <si>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</si>
  <si>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</si>
  <si>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Installation of ITS and Traffic Signal Integration SH146</t>
  </si>
  <si>
    <t>SH 146</t>
  </si>
  <si>
    <t xml:space="preserve">IH 45 </t>
  </si>
  <si>
    <t>SH 96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</si>
</sst>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C18" sqref="C18"/>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121</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15</v>
      </c>
      <c r="D12" s="95"/>
      <c r="N12" s="180"/>
      <c r="O12" s="180"/>
      <c r="P12" s="180"/>
      <c r="Q12" s="180"/>
      <c r="R12" s="180"/>
      <c r="S12" s="180"/>
    </row>
    <row r="13" spans="2:19" x14ac:dyDescent="0.25">
      <c r="B13" s="4" t="s">
        <v>77</v>
      </c>
      <c r="C13" s="121">
        <v>286</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2027</v>
      </c>
      <c r="D17" s="96"/>
    </row>
    <row r="18" spans="2:13" x14ac:dyDescent="0.25">
      <c r="B18" s="4" t="s">
        <v>259</v>
      </c>
      <c r="C18" s="120" t="s">
        <v>233</v>
      </c>
      <c r="D18" s="26"/>
    </row>
    <row r="19" spans="2:13" x14ac:dyDescent="0.25">
      <c r="B19" s="122" t="s">
        <v>251</v>
      </c>
      <c r="C19" s="174">
        <f>VLOOKUP(C18,'CRF Lookup Table'!C3:F84,2, FALSE)</f>
        <v>111</v>
      </c>
      <c r="D19" s="97"/>
    </row>
    <row r="20" spans="2:13" x14ac:dyDescent="0.25">
      <c r="B20" s="122" t="s">
        <v>102</v>
      </c>
      <c r="C20" s="175">
        <f>VLOOKUP(C18,'CRF Lookup Table'!C3:F84,3, FALSE)</f>
        <v>0.1</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27822</v>
      </c>
      <c r="D25" s="99"/>
      <c r="I25" s="49"/>
    </row>
    <row r="26" spans="2:13" x14ac:dyDescent="0.25">
      <c r="I26" s="49"/>
    </row>
    <row r="27" spans="2:13" x14ac:dyDescent="0.25">
      <c r="B27" s="86" t="s">
        <v>269</v>
      </c>
      <c r="C27" s="87">
        <v>11963</v>
      </c>
      <c r="D27" s="99"/>
      <c r="I27" s="49"/>
    </row>
    <row r="28" spans="2:13" x14ac:dyDescent="0.25">
      <c r="B28" s="86" t="s">
        <v>150</v>
      </c>
      <c r="C28" s="87">
        <v>22064</v>
      </c>
      <c r="D28" s="99"/>
      <c r="I28" s="49"/>
    </row>
    <row r="29" spans="2:13" x14ac:dyDescent="0.25">
      <c r="B29" s="86" t="s">
        <v>270</v>
      </c>
      <c r="C29" s="88">
        <v>12028</v>
      </c>
      <c r="D29" s="69"/>
      <c r="I29" s="49"/>
    </row>
    <row r="30" spans="2:13" x14ac:dyDescent="0.25">
      <c r="B30" s="86" t="s">
        <v>151</v>
      </c>
      <c r="C30" s="88">
        <v>26470</v>
      </c>
      <c r="D30" s="69"/>
      <c r="I30" s="49"/>
    </row>
    <row r="31" spans="2:13" x14ac:dyDescent="0.25">
      <c r="B31" s="86" t="s">
        <v>271</v>
      </c>
      <c r="C31" s="87">
        <v>14370</v>
      </c>
      <c r="D31" s="99"/>
      <c r="H31" s="70"/>
    </row>
    <row r="32" spans="2:13" x14ac:dyDescent="0.25">
      <c r="B32" s="86" t="s">
        <v>152</v>
      </c>
      <c r="C32" s="87">
        <v>26470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29096.084193010487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28475.27964689094</v>
      </c>
      <c r="G4" s="183" t="s">
        <v>260</v>
      </c>
      <c r="H4" s="183"/>
      <c r="I4" s="183"/>
      <c r="J4" s="183"/>
      <c r="L4" s="136"/>
      <c r="M4" s="137">
        <v>2018</v>
      </c>
      <c r="N4" s="138">
        <f>_2018_Volume_ADT</f>
        <v>27822</v>
      </c>
      <c r="O4" s="139" t="s">
        <v>85</v>
      </c>
      <c r="P4" s="140">
        <f>MIN(B12,1)</f>
        <v>0.54219543147208127</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427129.1947033641</v>
      </c>
      <c r="G5" s="184" t="s">
        <v>261</v>
      </c>
      <c r="H5" s="184"/>
      <c r="I5" s="184"/>
      <c r="J5" s="143">
        <f>SUMPRODUCT(Possible_Crash_Reductions,'Value of Statistical Life'!E5:E11)</f>
        <v>6870099.1187655954</v>
      </c>
      <c r="L5" s="136"/>
      <c r="M5" s="144">
        <f t="shared" ref="M5:M36" si="1">M4+1</f>
        <v>2019</v>
      </c>
      <c r="N5" s="145">
        <f>N4+(N4*O5)</f>
        <v>27843.545395734403</v>
      </c>
      <c r="O5" s="146">
        <f t="shared" ref="O5:O11" si="2">IF(ISERROR(_2025_2045_Demand_Growth),_2018_2045_Demand_Growth,_2018_2025_Demand_Growth)</f>
        <v>7.7440139941065134E-4</v>
      </c>
      <c r="P5" s="147">
        <f t="shared" ref="P5:P11" si="3">P4*(1+IFERROR(_2018_2025_V_C_Growth,_2018_2045_V_C_Growth))</f>
        <v>0.52868424889451637</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111053590.62287466</v>
      </c>
      <c r="L6" s="136"/>
      <c r="M6" s="137">
        <f t="shared" si="1"/>
        <v>2020</v>
      </c>
      <c r="N6" s="145">
        <f t="shared" ref="N6:N36" si="6">N5+(N5*O6)</f>
        <v>27865.107476253415</v>
      </c>
      <c r="O6" s="146">
        <f t="shared" si="2"/>
        <v>7.7440139941065134E-4</v>
      </c>
      <c r="P6" s="147">
        <f t="shared" si="3"/>
        <v>0.51550975682382028</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27886.686254477754</v>
      </c>
      <c r="O7" s="146">
        <f t="shared" si="2"/>
        <v>7.7440139941065134E-4</v>
      </c>
      <c r="P7" s="147">
        <f t="shared" si="3"/>
        <v>0.50266356513597799</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27908.281743338146</v>
      </c>
      <c r="O8" s="146">
        <f t="shared" si="2"/>
        <v>7.7440139941065134E-4</v>
      </c>
      <c r="P8" s="147">
        <f t="shared" si="3"/>
        <v>0.49013749278379587</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7.7440139941065134E-4</v>
      </c>
      <c r="D9" s="152" t="s">
        <v>137</v>
      </c>
      <c r="E9" s="154">
        <f>IF('Inputs &amp; Outputs'!$C$8='CRASH RATES'!$D$3, VLOOKUP('Inputs &amp; Outputs'!$C$7,'CRASH RATES'!$C$14:$J$21,3,FALSE), VLOOKUP('Inputs &amp; Outputs'!$C$7,'CRASH RATES'!$C$28:$J$35,3,FALSE))</f>
        <v>2.8942083274968362</v>
      </c>
      <c r="F9" s="155"/>
      <c r="L9" s="136"/>
      <c r="M9" s="144">
        <f t="shared" si="1"/>
        <v>2023</v>
      </c>
      <c r="N9" s="145">
        <f t="shared" si="6"/>
        <v>27929.893955775333</v>
      </c>
      <c r="O9" s="146">
        <f t="shared" si="2"/>
        <v>7.7440139941065134E-4</v>
      </c>
      <c r="P9" s="147">
        <f t="shared" si="3"/>
        <v>0.47792356258683372</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8.9349522469761578E-3</v>
      </c>
      <c r="D10" s="152" t="s">
        <v>138</v>
      </c>
      <c r="E10" s="154">
        <f>IF('Inputs &amp; Outputs'!$C$8='CRASH RATES'!$D$3, VLOOKUP('Inputs &amp; Outputs'!$C$7,'CRASH RATES'!$C$14:$J$21,4,FALSE), VLOOKUP('Inputs &amp; Outputs'!$C$7,'CRASH RATES'!$C$28:$J$35,4,FALSE))</f>
        <v>14.04542276579347</v>
      </c>
      <c r="F10" s="155"/>
      <c r="L10" s="136"/>
      <c r="M10" s="137">
        <f t="shared" si="1"/>
        <v>2024</v>
      </c>
      <c r="N10" s="145">
        <f t="shared" si="6"/>
        <v>27951.522904740075</v>
      </c>
      <c r="O10" s="146">
        <f t="shared" si="2"/>
        <v>7.7440139941065134E-4</v>
      </c>
      <c r="P10" s="147">
        <f t="shared" si="3"/>
        <v>0.46601399615116834</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6.8128860548277714E-3</v>
      </c>
      <c r="D11" s="152" t="s">
        <v>139</v>
      </c>
      <c r="E11" s="154">
        <f>IF('Inputs &amp; Outputs'!$C$8='CRASH RATES'!$D$3, VLOOKUP('Inputs &amp; Outputs'!$C$7,'CRASH RATES'!$C$14:$J$21,5,FALSE), VLOOKUP('Inputs &amp; Outputs'!$C$7,'CRASH RATES'!$C$28:$J$35,5,FALSE))</f>
        <v>51.329635925899773</v>
      </c>
      <c r="F11" s="155"/>
      <c r="L11" s="136"/>
      <c r="M11" s="144">
        <f t="shared" si="1"/>
        <v>2025</v>
      </c>
      <c r="N11" s="145">
        <f t="shared" si="6"/>
        <v>27973.168603193164</v>
      </c>
      <c r="O11" s="146">
        <f t="shared" si="2"/>
        <v>7.7440139941065134E-4</v>
      </c>
      <c r="P11" s="147">
        <f t="shared" si="3"/>
        <v>0.45440120891575375</v>
      </c>
      <c r="Q11" s="148">
        <f t="shared" si="4"/>
        <v>1</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0.54219543147208127</v>
      </c>
      <c r="D12" s="152" t="s">
        <v>140</v>
      </c>
      <c r="E12" s="154">
        <f>IF('Inputs &amp; Outputs'!$C$8='CRASH RATES'!$D$3, VLOOKUP('Inputs &amp; Outputs'!$C$7,'CRASH RATES'!$C$14:$J$21,6,FALSE), VLOOKUP('Inputs &amp; Outputs'!$C$7,'CRASH RATES'!$C$28:$J$35,6,FALSE))</f>
        <v>102.91464317481397</v>
      </c>
      <c r="F12" s="155"/>
      <c r="L12" s="136"/>
      <c r="M12" s="137">
        <f t="shared" si="1"/>
        <v>2026</v>
      </c>
      <c r="N12" s="145">
        <f t="shared" si="6"/>
        <v>28223.107528859309</v>
      </c>
      <c r="O12" s="146">
        <f t="shared" ref="O12:O36" si="7">IFERROR(_2025_2045_Demand_Growth,_2018_2045_Demand_Growth)</f>
        <v>8.9349522469761578E-3</v>
      </c>
      <c r="P12" s="147">
        <f t="shared" ref="P12:P36" si="8">P11*(1+IFERROR(_2025_2040_V_C_Growth,_2018_2045_V_C_Growth))</f>
        <v>0.45846126201838427</v>
      </c>
      <c r="Q12" s="148">
        <f t="shared" si="4"/>
        <v>1</v>
      </c>
      <c r="R12" s="37">
        <f>IF(M12=Year_Open_to_Traffic?,Calculations!$J$5,Calculations!R11+(Calculations!R11*Calculations!O12*Q12))</f>
        <v>0</v>
      </c>
      <c r="S12" s="54">
        <f t="shared" si="0"/>
        <v>0</v>
      </c>
      <c r="T12" s="37">
        <f t="shared" si="5"/>
        <v>0</v>
      </c>
      <c r="U12" s="142">
        <f>T12/(1+Real_Discount_Rate)^(Calculations!M12-'Assumed Values'!$C$5)</f>
        <v>0</v>
      </c>
    </row>
    <row r="13" spans="1:21" ht="15.75" x14ac:dyDescent="0.25">
      <c r="A13" s="152" t="s">
        <v>74</v>
      </c>
      <c r="B13" s="156">
        <f>_2025_Peak_Period_Volume/_2025_Peak_Period_Capacity</f>
        <v>0.4544012089157537</v>
      </c>
      <c r="D13" s="152" t="s">
        <v>141</v>
      </c>
      <c r="E13" s="154">
        <f>IF('Inputs &amp; Outputs'!$C$8='CRASH RATES'!$D$3, VLOOKUP('Inputs &amp; Outputs'!$C$7,'CRASH RATES'!$C$14:$J$21,7,FALSE), VLOOKUP('Inputs &amp; Outputs'!$C$7,'CRASH RATES'!$C$28:$J$35,7,FALSE))</f>
        <v>1117.0792906394406</v>
      </c>
      <c r="F13" s="155"/>
      <c r="L13" s="136"/>
      <c r="M13" s="144">
        <f t="shared" si="1"/>
        <v>2027</v>
      </c>
      <c r="N13" s="145">
        <f t="shared" si="6"/>
        <v>28475.27964689094</v>
      </c>
      <c r="O13" s="146">
        <f t="shared" si="7"/>
        <v>8.9349522469761578E-3</v>
      </c>
      <c r="P13" s="147">
        <f t="shared" si="8"/>
        <v>0.46255759150160697</v>
      </c>
      <c r="Q13" s="148">
        <f t="shared" si="4"/>
        <v>1</v>
      </c>
      <c r="R13" s="37">
        <f>IF(M13=Year_Open_to_Traffic?,Calculations!$J$5,Calculations!R12+(Calculations!R12*Calculations!O13*Q13))</f>
        <v>6870099.1187655954</v>
      </c>
      <c r="S13" s="54">
        <f t="shared" si="0"/>
        <v>1</v>
      </c>
      <c r="T13" s="37">
        <f t="shared" si="5"/>
        <v>6870.0991187655954</v>
      </c>
      <c r="U13" s="142">
        <f>T13/(1+Real_Discount_Rate)^(Calculations!M13-'Assumed Values'!$C$5)</f>
        <v>3736.8787255942275</v>
      </c>
    </row>
    <row r="14" spans="1:21" ht="15.75" x14ac:dyDescent="0.25">
      <c r="A14" s="152" t="s">
        <v>148</v>
      </c>
      <c r="B14" s="156">
        <f>_2045_Peak_Period_Volume/_2045_Peak_Period_Capacity</f>
        <v>0.5428787306384586</v>
      </c>
      <c r="D14" s="152" t="s">
        <v>142</v>
      </c>
      <c r="E14" s="154">
        <f>IF('Inputs &amp; Outputs'!$C$8='CRASH RATES'!$D$3, VLOOKUP('Inputs &amp; Outputs'!$C$7,'CRASH RATES'!$C$14:$J$21,8,FALSE), VLOOKUP('Inputs &amp; Outputs'!$C$7,'CRASH RATES'!$C$28:$J$35,8,FALSE))</f>
        <v>47.924684952374079</v>
      </c>
      <c r="F14" s="155"/>
      <c r="L14" s="136"/>
      <c r="M14" s="137">
        <f>M13+1</f>
        <v>2028</v>
      </c>
      <c r="N14" s="145">
        <f t="shared" si="6"/>
        <v>28729.704910755201</v>
      </c>
      <c r="O14" s="146">
        <f t="shared" si="7"/>
        <v>8.9349522469761578E-3</v>
      </c>
      <c r="P14" s="147">
        <f>P13*(1+IFERROR(_2025_2040_V_C_Growth,_2018_2045_V_C_Growth))</f>
        <v>0.46669052149315016</v>
      </c>
      <c r="Q14" s="148">
        <f t="shared" si="4"/>
        <v>1</v>
      </c>
      <c r="R14" s="37">
        <f>IF(M14=Year_Open_to_Traffic?,Calculations!$J$5,Calculations!R13+(Calculations!R13*Calculations!O14*Q14))</f>
        <v>6931483.1263237586</v>
      </c>
      <c r="S14" s="54">
        <f t="shared" si="0"/>
        <v>1</v>
      </c>
      <c r="T14" s="37">
        <f t="shared" si="5"/>
        <v>6931.4831263237584</v>
      </c>
      <c r="U14" s="142">
        <f>T14/(1+Real_Discount_Rate)^(Calculations!M14-'Assumed Values'!$C$5)</f>
        <v>3523.6145407104232</v>
      </c>
    </row>
    <row r="15" spans="1:21" ht="15.75" x14ac:dyDescent="0.25">
      <c r="A15" s="152" t="s">
        <v>80</v>
      </c>
      <c r="B15" s="153">
        <f>(B13/B12)^(1/(2025-2018))-1</f>
        <v>-2.4919395836445091E-2</v>
      </c>
      <c r="L15" s="136"/>
      <c r="M15" s="144">
        <f>M14+1</f>
        <v>2029</v>
      </c>
      <c r="N15" s="145">
        <f t="shared" si="6"/>
        <v>28986.403452202514</v>
      </c>
      <c r="O15" s="146">
        <f t="shared" si="7"/>
        <v>8.9349522469761578E-3</v>
      </c>
      <c r="P15" s="147">
        <f>P14*(1+IFERROR(_2025_2040_V_C_Growth,_2018_2045_V_C_Growth))</f>
        <v>0.47086037901680783</v>
      </c>
      <c r="Q15" s="148">
        <f t="shared" si="4"/>
        <v>1</v>
      </c>
      <c r="R15" s="37">
        <f>IF(M15=Year_Open_to_Traffic?,Calculations!$J$5,Calculations!R14+(Calculations!R14*Calculations!O15*Q15))</f>
        <v>6993415.5970581826</v>
      </c>
      <c r="S15" s="54">
        <f t="shared" si="0"/>
        <v>1</v>
      </c>
      <c r="T15" s="37">
        <f t="shared" si="5"/>
        <v>6993.4155970581824</v>
      </c>
      <c r="U15" s="142">
        <f>T15/(1+Real_Discount_Rate)^(Calculations!M15-'Assumed Values'!$C$5)</f>
        <v>3322.521372306936</v>
      </c>
    </row>
    <row r="16" spans="1:21" ht="15.75" x14ac:dyDescent="0.25">
      <c r="A16" s="152" t="s">
        <v>108</v>
      </c>
      <c r="B16" s="153">
        <f>(B14/B13)^(1/(2045-2025))-1</f>
        <v>8.9349522469761578E-3</v>
      </c>
      <c r="D16" s="157" t="s">
        <v>136</v>
      </c>
      <c r="E16" s="151"/>
      <c r="L16" s="136"/>
      <c r="M16" s="137">
        <f t="shared" si="1"/>
        <v>2030</v>
      </c>
      <c r="N16" s="145">
        <f t="shared" si="6"/>
        <v>29245.395582859528</v>
      </c>
      <c r="O16" s="146">
        <f t="shared" si="7"/>
        <v>8.9349522469761578E-3</v>
      </c>
      <c r="P16" s="147">
        <f t="shared" si="8"/>
        <v>0.47506749401831611</v>
      </c>
      <c r="Q16" s="148">
        <f t="shared" si="4"/>
        <v>1</v>
      </c>
      <c r="R16" s="37">
        <f>IF(M16=Year_Open_to_Traffic?,Calculations!$J$5,Calculations!R15+(Calculations!R15*Calculations!O16*Q16))</f>
        <v>7055901.4314611554</v>
      </c>
      <c r="S16" s="54">
        <f t="shared" si="0"/>
        <v>1</v>
      </c>
      <c r="T16" s="37">
        <f t="shared" si="5"/>
        <v>7055.901431461155</v>
      </c>
      <c r="U16" s="142">
        <f>T16/(1+Real_Discount_Rate)^(Calculations!M16-'Assumed Values'!$C$5)</f>
        <v>3132.904618792576</v>
      </c>
    </row>
    <row r="17" spans="1:21" ht="15.75" x14ac:dyDescent="0.25">
      <c r="A17" s="152" t="s">
        <v>109</v>
      </c>
      <c r="B17" s="153">
        <f>(B14/B12)^(1/(2045-2018))-1</f>
        <v>4.6647447739855963E-5</v>
      </c>
      <c r="D17" s="152" t="s">
        <v>89</v>
      </c>
      <c r="E17" s="158">
        <f>($E$6*Death_Rate)/100000000</f>
        <v>3.2141222677914838</v>
      </c>
      <c r="L17" s="136"/>
      <c r="M17" s="144">
        <f t="shared" si="1"/>
        <v>2031</v>
      </c>
      <c r="N17" s="145">
        <f t="shared" si="6"/>
        <v>29506.701795836307</v>
      </c>
      <c r="O17" s="146">
        <f t="shared" si="7"/>
        <v>8.9349522469761578E-3</v>
      </c>
      <c r="P17" s="147">
        <f t="shared" si="8"/>
        <v>0.47931219939146041</v>
      </c>
      <c r="Q17" s="148">
        <f t="shared" si="4"/>
        <v>1</v>
      </c>
      <c r="R17" s="37">
        <f>IF(M17=Year_Open_to_Traffic?,Calculations!$J$5,Calculations!R16+(Calculations!R16*Calculations!O17*Q17))</f>
        <v>7118945.5738106314</v>
      </c>
      <c r="S17" s="54">
        <f t="shared" si="0"/>
        <v>1</v>
      </c>
      <c r="T17" s="37">
        <f t="shared" si="5"/>
        <v>7118.9455738106317</v>
      </c>
      <c r="U17" s="142">
        <f>T17/(1+Real_Discount_Rate)^(Calculations!M17-'Assumed Values'!$C$5)</f>
        <v>2954.1093195848775</v>
      </c>
    </row>
    <row r="18" spans="1:21" ht="15.75" x14ac:dyDescent="0.25">
      <c r="D18" s="152" t="s">
        <v>94</v>
      </c>
      <c r="E18" s="158">
        <f>($E$6*Incap_Injry_Rate)/100000000</f>
        <v>15.597946299576321</v>
      </c>
      <c r="L18" s="136"/>
      <c r="M18" s="137">
        <f t="shared" si="1"/>
        <v>2032</v>
      </c>
      <c r="N18" s="145">
        <f t="shared" si="6"/>
        <v>29770.342767347869</v>
      </c>
      <c r="O18" s="146">
        <f t="shared" si="7"/>
        <v>8.9349522469761578E-3</v>
      </c>
      <c r="P18" s="147">
        <f t="shared" si="8"/>
        <v>0.48359483100441625</v>
      </c>
      <c r="Q18" s="148">
        <f t="shared" si="4"/>
        <v>1</v>
      </c>
      <c r="R18" s="37">
        <f>IF(M18=Year_Open_to_Traffic?,Calculations!$J$5,Calculations!R17+(Calculations!R17*Calculations!O18*Q18))</f>
        <v>7182553.0125614516</v>
      </c>
      <c r="S18" s="54">
        <f t="shared" si="0"/>
        <v>1</v>
      </c>
      <c r="T18" s="37">
        <f t="shared" si="5"/>
        <v>7182.5530125614514</v>
      </c>
      <c r="U18" s="142">
        <f>T18/(1+Real_Discount_Rate)^(Calculations!M18-'Assumed Values'!$C$5)</f>
        <v>2785.5178927922575</v>
      </c>
    </row>
    <row r="19" spans="1:21" ht="15.75" x14ac:dyDescent="0.25">
      <c r="D19" s="152" t="s">
        <v>93</v>
      </c>
      <c r="E19" s="158">
        <f>($E$6*Nonincap_Injry_Rate)/100000000</f>
        <v>57.003403749360736</v>
      </c>
      <c r="L19" s="136"/>
      <c r="M19" s="144">
        <f t="shared" si="1"/>
        <v>2033</v>
      </c>
      <c r="N19" s="145">
        <f t="shared" si="6"/>
        <v>30036.339358350233</v>
      </c>
      <c r="O19" s="146">
        <f t="shared" si="7"/>
        <v>8.9349522469761578E-3</v>
      </c>
      <c r="P19" s="147">
        <f t="shared" si="8"/>
        <v>0.48791572772632519</v>
      </c>
      <c r="Q19" s="148">
        <f t="shared" si="4"/>
        <v>1</v>
      </c>
      <c r="R19" s="37">
        <f>IF(M19=Year_Open_to_Traffic?,Calculations!$J$5,Calculations!R18+(Calculations!R18*Calculations!O19*Q19))</f>
        <v>7246728.7807400627</v>
      </c>
      <c r="S19" s="54">
        <f t="shared" si="0"/>
        <v>1</v>
      </c>
      <c r="T19" s="37">
        <f t="shared" si="5"/>
        <v>7246.7287807400626</v>
      </c>
      <c r="U19" s="142">
        <f>T19/(1+Real_Discount_Rate)^(Calculations!M19-'Assumed Values'!$C$5)</f>
        <v>2626.5480020069658</v>
      </c>
    </row>
    <row r="20" spans="1:21" ht="15.75" x14ac:dyDescent="0.25">
      <c r="D20" s="152" t="s">
        <v>92</v>
      </c>
      <c r="E20" s="158">
        <f>($E$6*Poss_Injry_Rate/100000000)</f>
        <v>114.29040652235014</v>
      </c>
      <c r="L20" s="136"/>
      <c r="M20" s="137">
        <f t="shared" si="1"/>
        <v>2034</v>
      </c>
      <c r="N20" s="145">
        <f t="shared" si="6"/>
        <v>30304.712616191064</v>
      </c>
      <c r="O20" s="146">
        <f t="shared" si="7"/>
        <v>8.9349522469761578E-3</v>
      </c>
      <c r="P20" s="147">
        <f t="shared" si="8"/>
        <v>0.49227523145410851</v>
      </c>
      <c r="Q20" s="148">
        <f t="shared" si="4"/>
        <v>1</v>
      </c>
      <c r="R20" s="37">
        <f>IF(M20=Year_Open_to_Traffic?,Calculations!$J$5,Calculations!R19+(Calculations!R19*Calculations!O20*Q20))</f>
        <v>7311477.9563427633</v>
      </c>
      <c r="S20" s="54">
        <f t="shared" si="0"/>
        <v>1</v>
      </c>
      <c r="T20" s="37">
        <f t="shared" si="5"/>
        <v>7311.4779563427637</v>
      </c>
      <c r="U20" s="142">
        <f>T20/(1+Real_Discount_Rate)^(Calculations!M20-'Assumed Values'!$C$5)</f>
        <v>2476.6505448404573</v>
      </c>
    </row>
    <row r="21" spans="1:21" ht="15.75" x14ac:dyDescent="0.25">
      <c r="D21" s="152" t="s">
        <v>91</v>
      </c>
      <c r="E21" s="158">
        <f>($E$6*Non_Injry_Rate)/100000000</f>
        <v>1240.5566623596367</v>
      </c>
      <c r="L21" s="136"/>
      <c r="M21" s="144">
        <f>M20+1</f>
        <v>2035</v>
      </c>
      <c r="N21" s="145">
        <f t="shared" si="6"/>
        <v>30575.483776275069</v>
      </c>
      <c r="O21" s="146">
        <f t="shared" si="7"/>
        <v>8.9349522469761578E-3</v>
      </c>
      <c r="P21" s="147">
        <f>P20*(1+IFERROR(_2025_2040_V_C_Growth,_2018_2045_V_C_Growth))</f>
        <v>0.49667368713952009</v>
      </c>
      <c r="Q21" s="148">
        <f t="shared" si="4"/>
        <v>1</v>
      </c>
      <c r="R21" s="37">
        <f>IF(M21=Year_Open_to_Traffic?,Calculations!$J$5,Calculations!R20+(Calculations!R20*Calculations!O21*Q21))</f>
        <v>7376805.6627375046</v>
      </c>
      <c r="S21" s="54">
        <f t="shared" si="0"/>
        <v>1</v>
      </c>
      <c r="T21" s="37">
        <f t="shared" si="5"/>
        <v>7376.8056627375045</v>
      </c>
      <c r="U21" s="142">
        <f>T21/(1+Real_Discount_Rate)^(Calculations!M21-'Assumed Values'!$C$5)</f>
        <v>2335.3077562533217</v>
      </c>
    </row>
    <row r="22" spans="1:21" ht="15.75" x14ac:dyDescent="0.25">
      <c r="D22" s="152" t="s">
        <v>90</v>
      </c>
      <c r="E22" s="158">
        <f>($E$6*Unkn_Injry_Rate)/100000000</f>
        <v>53.222083434311926</v>
      </c>
      <c r="L22" s="136"/>
      <c r="M22" s="137">
        <f>M21+1</f>
        <v>2036</v>
      </c>
      <c r="N22" s="145">
        <f t="shared" si="6"/>
        <v>30848.67426374428</v>
      </c>
      <c r="O22" s="146">
        <f t="shared" si="7"/>
        <v>8.9349522469761578E-3</v>
      </c>
      <c r="P22" s="147">
        <f t="shared" si="8"/>
        <v>0.50111144281644127</v>
      </c>
      <c r="Q22" s="148">
        <f t="shared" si="4"/>
        <v>1</v>
      </c>
      <c r="R22" s="37">
        <f>IF(M22=Year_Open_to_Traffic?,Calculations!$J$5,Calculations!R21+(Calculations!R21*Calculations!O22*Q22))</f>
        <v>7442717.0690692877</v>
      </c>
      <c r="S22" s="54">
        <f t="shared" si="0"/>
        <v>1</v>
      </c>
      <c r="T22" s="37">
        <f t="shared" si="5"/>
        <v>7442.7170690692874</v>
      </c>
      <c r="U22" s="142">
        <f>T22/(1+Real_Discount_Rate)^(Calculations!M22-'Assumed Values'!$C$5)</f>
        <v>2202.0314201284468</v>
      </c>
    </row>
    <row r="23" spans="1:21" ht="15.75" x14ac:dyDescent="0.25">
      <c r="L23" s="136"/>
      <c r="M23" s="144">
        <f t="shared" si="1"/>
        <v>2037</v>
      </c>
      <c r="N23" s="145">
        <f t="shared" si="6"/>
        <v>31124.305695173356</v>
      </c>
      <c r="O23" s="146">
        <f t="shared" si="7"/>
        <v>8.9349522469761578E-3</v>
      </c>
      <c r="P23" s="147">
        <f t="shared" si="8"/>
        <v>0.50558884962841955</v>
      </c>
      <c r="Q23" s="148">
        <f t="shared" si="4"/>
        <v>1</v>
      </c>
      <c r="R23" s="37">
        <f>IF(M23=Year_Open_to_Traffic?,Calculations!$J$5,Calculations!R22+(Calculations!R22*Calculations!O23*Q23))</f>
        <v>7509217.3906691764</v>
      </c>
      <c r="S23" s="54">
        <f t="shared" si="0"/>
        <v>0</v>
      </c>
      <c r="T23" s="37">
        <f t="shared" si="5"/>
        <v>0</v>
      </c>
      <c r="U23" s="142">
        <f>T23/(1+Real_Discount_Rate)^(Calculations!M23-'Assumed Values'!$C$5)</f>
        <v>0</v>
      </c>
    </row>
    <row r="24" spans="1:21" ht="15.75" x14ac:dyDescent="0.25">
      <c r="L24" s="136"/>
      <c r="M24" s="137">
        <f t="shared" si="1"/>
        <v>2038</v>
      </c>
      <c r="N24" s="145">
        <f t="shared" si="6"/>
        <v>31402.39988028002</v>
      </c>
      <c r="O24" s="146">
        <f t="shared" si="7"/>
        <v>8.9349522469761578E-3</v>
      </c>
      <c r="P24" s="147">
        <f t="shared" si="8"/>
        <v>0.51010626185645314</v>
      </c>
      <c r="Q24" s="148">
        <f t="shared" si="4"/>
        <v>1</v>
      </c>
      <c r="R24" s="37">
        <f>IF(M24=Year_Open_to_Traffic?,Calculations!$J$5,Calculations!R23+(Calculations!R23*Calculations!O24*Q24))</f>
        <v>7576311.8894669684</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31682.97882365077</v>
      </c>
      <c r="O25" s="146">
        <f t="shared" si="7"/>
        <v>8.9349522469761578E-3</v>
      </c>
      <c r="P25" s="147">
        <f t="shared" si="8"/>
        <v>0.51466403694702401</v>
      </c>
      <c r="Q25" s="148">
        <f t="shared" si="4"/>
        <v>1</v>
      </c>
      <c r="R25" s="37">
        <f>IF(M25=Year_Open_to_Traffic?,Calculations!$J$5,Calculations!R24+(Calculations!R24*Calculations!O25*Q25))</f>
        <v>7644005.8744075531</v>
      </c>
      <c r="S25" s="54">
        <f t="shared" si="0"/>
        <v>0</v>
      </c>
      <c r="T25" s="37">
        <f t="shared" si="5"/>
        <v>0</v>
      </c>
      <c r="U25" s="142">
        <f>T25/(1+Real_Discount_Rate)^(Calculations!M25-'Assumed Values'!$C$5)</f>
        <v>0</v>
      </c>
    </row>
    <row r="26" spans="1:21" ht="15.75" x14ac:dyDescent="0.25">
      <c r="A26" s="181"/>
      <c r="B26" s="181"/>
      <c r="D26" s="160">
        <f>Calculations!E17</f>
        <v>3.2141222677914838</v>
      </c>
      <c r="E26" s="160">
        <f>Calculations!E18</f>
        <v>15.597946299576321</v>
      </c>
      <c r="F26" s="160">
        <f>Calculations!E19</f>
        <v>57.003403749360736</v>
      </c>
      <c r="G26" s="160">
        <f>Calculations!E20</f>
        <v>114.29040652235014</v>
      </c>
      <c r="H26" s="160">
        <f>Calculations!E21</f>
        <v>1240.5566623596367</v>
      </c>
      <c r="I26" s="160">
        <f>Calculations!E22</f>
        <v>53.222083434311926</v>
      </c>
      <c r="J26" s="182"/>
      <c r="L26" s="136"/>
      <c r="M26" s="137">
        <f t="shared" si="1"/>
        <v>2040</v>
      </c>
      <c r="N26" s="145">
        <f t="shared" si="6"/>
        <v>31966.064726482047</v>
      </c>
      <c r="O26" s="146">
        <f t="shared" si="7"/>
        <v>8.9349522469761578E-3</v>
      </c>
      <c r="P26" s="147">
        <f t="shared" si="8"/>
        <v>0.5192625355403816</v>
      </c>
      <c r="Q26" s="148">
        <f t="shared" si="4"/>
        <v>1</v>
      </c>
      <c r="R26" s="37">
        <f>IF(M26=Year_Open_to_Traffic?,Calculations!$J$5,Calculations!R25+(Calculations!R25*Calculations!O26*Q26))</f>
        <v>7712304.70187099</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5.3610141431643811E-2</v>
      </c>
      <c r="F27" s="163">
        <f>F$26*'Value of Statistical Life'!F17*Appropriate_Crash_Reduction_Factor</f>
        <v>0.47580741109591412</v>
      </c>
      <c r="G27" s="163">
        <f>G$26*'Value of Statistical Life'!G17*Appropriate_Crash_Reduction_Factor</f>
        <v>2.6786242576643202</v>
      </c>
      <c r="H27" s="163">
        <f>H$26*'Value of Statistical Life'!H17*Appropriate_Crash_Reduction_Factor</f>
        <v>114.79367019478664</v>
      </c>
      <c r="I27" s="163">
        <f>I$26*'Value of Statistical Life'!I17*Appropriate_Crash_Reduction_Factor</f>
        <v>2.3245277160770077</v>
      </c>
      <c r="J27" s="163">
        <f t="shared" ref="J27:J33" si="9">SUM(D27:I27)</f>
        <v>120.32623972105553</v>
      </c>
      <c r="K27" s="164"/>
      <c r="L27" s="136"/>
      <c r="M27" s="144">
        <f t="shared" si="1"/>
        <v>2041</v>
      </c>
      <c r="N27" s="145">
        <f t="shared" si="6"/>
        <v>32251.679988336913</v>
      </c>
      <c r="O27" s="146">
        <f t="shared" si="7"/>
        <v>8.9349522469761578E-3</v>
      </c>
      <c r="P27" s="147">
        <f t="shared" si="8"/>
        <v>0.52390212149907867</v>
      </c>
      <c r="Q27" s="148">
        <f t="shared" si="4"/>
        <v>1</v>
      </c>
      <c r="R27" s="37">
        <f>IF(M27=Year_Open_to_Traffic?,Calculations!$J$5,Calculations!R26+(Calculations!R26*Calculations!O27*Q27))</f>
        <v>7781213.7760963365</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0.86489052436520764</v>
      </c>
      <c r="F28" s="163">
        <f>F$26*'Value of Statistical Life'!F18*Appropriate_Crash_Reduction_Factor</f>
        <v>4.3803125543121268</v>
      </c>
      <c r="G28" s="163">
        <f>G$26*'Value of Statistical Life'!G18*Appropriate_Crash_Reduction_Factor</f>
        <v>7.879866368089953</v>
      </c>
      <c r="H28" s="163">
        <f>H$26*'Value of Statistical Life'!H18*Appropriate_Crash_Reduction_Factor</f>
        <v>9.0027196987438831</v>
      </c>
      <c r="I28" s="163">
        <f>I$26*'Value of Statistical Life'!I18*Appropriate_Crash_Reduction_Factor</f>
        <v>2.2214365404647451</v>
      </c>
      <c r="J28" s="163">
        <f t="shared" si="9"/>
        <v>24.349225685975917</v>
      </c>
      <c r="K28" s="164"/>
      <c r="L28" s="136"/>
      <c r="M28" s="137">
        <f t="shared" si="1"/>
        <v>2042</v>
      </c>
      <c r="N28" s="145">
        <f t="shared" si="6"/>
        <v>32539.847208917461</v>
      </c>
      <c r="O28" s="146">
        <f t="shared" si="7"/>
        <v>8.9349522469761578E-3</v>
      </c>
      <c r="P28" s="147">
        <f t="shared" si="8"/>
        <v>0.52858316193676247</v>
      </c>
      <c r="Q28" s="148">
        <f t="shared" si="4"/>
        <v>1</v>
      </c>
      <c r="R28" s="37">
        <f>IF(M28=Year_Open_to_Traffic?,Calculations!$J$5,Calculations!R27+(Calculations!R27*Calculations!O28*Q28))</f>
        <v>7850738.5496092699</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0.32612186123154174</v>
      </c>
      <c r="F29" s="163">
        <f>F$26*'Value of Statistical Life'!F19*Appropriate_Crash_Reduction_Factor</f>
        <v>0.62122309406053322</v>
      </c>
      <c r="G29" s="163">
        <f>G$26*'Value of Statistical Life'!G19*Appropriate_Crash_Reduction_Factor</f>
        <v>0.73042998808433968</v>
      </c>
      <c r="H29" s="163">
        <f>H$26*'Value of Statistical Life'!H19*Appropriate_Crash_Reduction_Factor</f>
        <v>0.24563021914720806</v>
      </c>
      <c r="I29" s="163">
        <f>I$26*'Value of Statistical Life'!I19*Appropriate_Crash_Reduction_Factor</f>
        <v>0.47218632422921536</v>
      </c>
      <c r="J29" s="163">
        <f t="shared" si="9"/>
        <v>2.3955914867528381</v>
      </c>
      <c r="K29" s="164"/>
      <c r="L29" s="136"/>
      <c r="M29" s="144">
        <f t="shared" si="1"/>
        <v>2043</v>
      </c>
      <c r="N29" s="145">
        <f t="shared" si="6"/>
        <v>32830.589189853039</v>
      </c>
      <c r="O29" s="146">
        <f t="shared" si="7"/>
        <v>8.9349522469761578E-3</v>
      </c>
      <c r="P29" s="147">
        <f t="shared" si="8"/>
        <v>0.53330602724722309</v>
      </c>
      <c r="Q29" s="148">
        <f t="shared" si="4"/>
        <v>1</v>
      </c>
      <c r="R29" s="37">
        <f>IF(M29=Year_Open_to_Traffic?,Calculations!$J$5,Calculations!R28+(Calculations!R28*Calculations!O29*Q29))</f>
        <v>7920884.523653524</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0.22518755072698335</v>
      </c>
      <c r="F30" s="163">
        <f>F$26*'Value of Statistical Life'!F20*Appropriate_Crash_Reduction_Factor</f>
        <v>0.18189786136421013</v>
      </c>
      <c r="G30" s="163">
        <f>G$26*'Value of Statistical Life'!G20*Appropriate_Crash_Reduction_Factor</f>
        <v>0.12240502538543702</v>
      </c>
      <c r="H30" s="163">
        <f>H$26*'Value of Statistical Life'!H20*Appropriate_Crash_Reduction_Factor</f>
        <v>9.9244532988770947E-3</v>
      </c>
      <c r="I30" s="163">
        <f>I$26*'Value of Statistical Life'!I20*Appropriate_Crash_Reduction_Factor</f>
        <v>0.25637077590308055</v>
      </c>
      <c r="J30" s="163">
        <f t="shared" si="9"/>
        <v>0.79578566667858819</v>
      </c>
      <c r="K30" s="164"/>
      <c r="L30" s="136"/>
      <c r="M30" s="144">
        <f t="shared" si="1"/>
        <v>2044</v>
      </c>
      <c r="N30" s="145">
        <f t="shared" si="6"/>
        <v>33123.928936504468</v>
      </c>
      <c r="O30" s="146">
        <f t="shared" si="7"/>
        <v>8.9349522469761578E-3</v>
      </c>
      <c r="P30" s="147">
        <f t="shared" si="8"/>
        <v>0.53807109113370155</v>
      </c>
      <c r="Q30" s="148">
        <f t="shared" si="4"/>
        <v>1</v>
      </c>
      <c r="R30" s="37">
        <f>IF(M30=Year_Open_to_Traffic?,Calculations!$J$5,Calculations!R29+(Calculations!R29*Calculations!O30*Q30))</f>
        <v>7991657.2486261809</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6.2173413950111216E-2</v>
      </c>
      <c r="F31" s="163">
        <f>F$26*'Value of Statistical Life'!F21*Appropriate_Crash_Reduction_Factor</f>
        <v>3.5342110324603652E-2</v>
      </c>
      <c r="G31" s="163">
        <f>G$26*'Value of Statistical Life'!G21*Appropriate_Crash_Reduction_Factor</f>
        <v>1.6229237726173722E-2</v>
      </c>
      <c r="H31" s="163">
        <f>H$26*'Value of Statistical Life'!H21*Appropriate_Crash_Reduction_Factor</f>
        <v>0</v>
      </c>
      <c r="I31" s="163">
        <f>I$26*'Value of Statistical Life'!I21*Appropriate_Crash_Reduction_Factor</f>
        <v>3.283802547897046E-2</v>
      </c>
      <c r="J31" s="163">
        <f t="shared" si="9"/>
        <v>0.14658278747985906</v>
      </c>
      <c r="K31" s="164"/>
      <c r="L31" s="136"/>
      <c r="M31" s="144">
        <f t="shared" si="1"/>
        <v>2045</v>
      </c>
      <c r="N31" s="145">
        <f t="shared" si="6"/>
        <v>33419.88965978437</v>
      </c>
      <c r="O31" s="146">
        <f t="shared" si="7"/>
        <v>8.9349522469761578E-3</v>
      </c>
      <c r="P31" s="147">
        <f t="shared" si="8"/>
        <v>0.54287873063845948</v>
      </c>
      <c r="Q31" s="148">
        <f t="shared" si="4"/>
        <v>1</v>
      </c>
      <c r="R31" s="37">
        <f>IF(M31=Year_Open_to_Traffic?,Calculations!$J$5,Calculations!R30+(Calculations!R30*Calculations!O31*Q31))</f>
        <v>8063062.324516857</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2.7811138252144582E-2</v>
      </c>
      <c r="F32" s="163">
        <f>F$26*'Value of Statistical Life'!F22*Appropriate_Crash_Reduction_Factor</f>
        <v>5.7573437786854345E-3</v>
      </c>
      <c r="G32" s="163">
        <f>G$26*'Value of Statistical Life'!G22*Appropriate_Crash_Reduction_Factor</f>
        <v>1.4857752847905518E-3</v>
      </c>
      <c r="H32" s="163">
        <f>H$26*'Value of Statistical Life'!H22*Appropriate_Crash_Reduction_Factor</f>
        <v>3.7216699870789103E-3</v>
      </c>
      <c r="I32" s="163">
        <f>I$26*'Value of Statistical Life'!I22*Appropriate_Crash_Reduction_Factor</f>
        <v>1.4848961278173029E-2</v>
      </c>
      <c r="J32" s="163">
        <f t="shared" si="9"/>
        <v>5.3624888580872505E-2</v>
      </c>
      <c r="K32" s="164"/>
      <c r="L32" s="136"/>
      <c r="M32" s="144">
        <f t="shared" si="1"/>
        <v>2046</v>
      </c>
      <c r="N32" s="145">
        <f t="shared" si="6"/>
        <v>33718.494777993757</v>
      </c>
      <c r="O32" s="146">
        <f t="shared" si="7"/>
        <v>8.9349522469761578E-3</v>
      </c>
      <c r="P32" s="147">
        <f t="shared" si="8"/>
        <v>0.54772932617261316</v>
      </c>
      <c r="Q32" s="148">
        <f t="shared" si="4"/>
        <v>1</v>
      </c>
      <c r="R32" s="37">
        <f>IF(M32=Year_Open_to_Traffic?,Calculations!$J$5,Calculations!R31+(Calculations!R31*Calculations!O32*Q32))</f>
        <v>8135105.4013508074</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0.32141222677914838</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0.32141222677914838</v>
      </c>
      <c r="K33" s="164"/>
      <c r="L33" s="136"/>
      <c r="M33" s="144">
        <f t="shared" si="1"/>
        <v>2047</v>
      </c>
      <c r="N33" s="145">
        <f t="shared" si="6"/>
        <v>34019.767918675047</v>
      </c>
      <c r="O33" s="146">
        <f t="shared" si="7"/>
        <v>8.9349522469761578E-3</v>
      </c>
      <c r="P33" s="147">
        <f t="shared" si="8"/>
        <v>0.55262326154623387</v>
      </c>
      <c r="Q33" s="148">
        <f t="shared" si="4"/>
        <v>1</v>
      </c>
      <c r="R33" s="37">
        <f>IF(M33=Year_Open_to_Traffic?,Calculations!$J$5,Calculations!R32+(Calculations!R32*Calculations!O33*Q33))</f>
        <v>8207792.1796359951</v>
      </c>
      <c r="S33" s="54">
        <f t="shared" si="0"/>
        <v>0</v>
      </c>
      <c r="T33" s="37">
        <f t="shared" si="5"/>
        <v>0</v>
      </c>
      <c r="U33" s="142">
        <f>T33/(1+Real_Discount_Rate)^(Calculations!M33-'Assumed Values'!$C$5)</f>
        <v>0</v>
      </c>
    </row>
    <row r="34" spans="1:21" ht="15.75" x14ac:dyDescent="0.25">
      <c r="J34" s="166"/>
      <c r="L34" s="136"/>
      <c r="M34" s="144">
        <f t="shared" si="1"/>
        <v>2048</v>
      </c>
      <c r="N34" s="145">
        <f t="shared" si="6"/>
        <v>34323.73292048162</v>
      </c>
      <c r="O34" s="146">
        <f t="shared" si="7"/>
        <v>8.9349522469761578E-3</v>
      </c>
      <c r="P34" s="147">
        <f t="shared" si="8"/>
        <v>0.55756092399871771</v>
      </c>
      <c r="Q34" s="148">
        <f t="shared" si="4"/>
        <v>1</v>
      </c>
      <c r="R34" s="37">
        <f>IF(M34=Year_Open_to_Traffic?,Calculations!$J$5,Calculations!R33+(Calculations!R33*Calculations!O34*Q34))</f>
        <v>8281128.4108141474</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34630.413835064086</v>
      </c>
      <c r="O35" s="146">
        <f t="shared" si="7"/>
        <v>8.9349522469761578E-3</v>
      </c>
      <c r="P35" s="147">
        <f t="shared" si="8"/>
        <v>0.5625427042294262</v>
      </c>
      <c r="Q35" s="148">
        <f t="shared" si="4"/>
        <v>1</v>
      </c>
      <c r="R35" s="37">
        <f>IF(M35=Year_Open_to_Traffic?,Calculations!$J$5,Calculations!R34+(Calculations!R34*Calculations!O35*Q35))</f>
        <v>8355119.8977158498</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34939.834928973403</v>
      </c>
      <c r="O36" s="146">
        <f t="shared" si="7"/>
        <v>8.9349522469761578E-3</v>
      </c>
      <c r="P36" s="147">
        <f t="shared" si="8"/>
        <v>0.56756899642860092</v>
      </c>
      <c r="Q36" s="148">
        <f t="shared" si="4"/>
        <v>1</v>
      </c>
      <c r="R36" s="37">
        <f>IF(M36=Year_Open_to_Traffic?,Calculations!$J$5,Calculations!R35+(Calculations!R35*Calculations!O36*Q36))</f>
        <v>8429772.4950197004</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29096.084193010487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2018-08-02T18:58:13Z</cp:lastPrinted>
  <dcterms:created xsi:type="dcterms:W3CDTF">2012-07-25T15:48:32Z</dcterms:created>
  <dcterms:modified xsi:type="dcterms:W3CDTF">2018-10-31T17:30:11Z</dcterms:modified>
</cp:coreProperties>
</file>