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23_SH105/"/>
    </mc:Choice>
  </mc:AlternateContent>
  <xr:revisionPtr revIDLastSave="2" documentId="8_{9B5AF4CD-A61C-4BD6-842A-75FA6D3218FE}" xr6:coauthVersionLast="40" xr6:coauthVersionMax="40" xr10:uidLastSave="{06433354-B61E-49CD-AB4C-AF16F90953AC}"/>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M21"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M22" i="12"/>
  <c r="J27" i="12"/>
  <c r="J30" i="12"/>
  <c r="J32" i="12"/>
  <c r="J31" i="12"/>
  <c r="J28" i="12"/>
  <c r="J33" i="12"/>
  <c r="J29" i="12"/>
  <c r="H20" i="7"/>
  <c r="I20" i="7"/>
  <c r="J20" i="7"/>
  <c r="G21" i="7"/>
  <c r="J29" i="5"/>
  <c r="K29" i="5"/>
  <c r="H29" i="5"/>
  <c r="S22" i="12"/>
  <c r="P23" i="12"/>
  <c r="Q22" i="12"/>
  <c r="M23" i="12"/>
  <c r="J5" i="12"/>
  <c r="H21" i="7"/>
  <c r="I21" i="7"/>
  <c r="J21" i="7"/>
  <c r="G22" i="7"/>
  <c r="I29" i="5"/>
  <c r="B13" i="5"/>
  <c r="S23" i="12"/>
  <c r="P24" i="12"/>
  <c r="Q23" i="12"/>
  <c r="M24" i="12"/>
  <c r="R8" i="12"/>
  <c r="R9" i="12"/>
  <c r="R10" i="12"/>
  <c r="R11" i="12"/>
  <c r="R12" i="12"/>
  <c r="R13" i="12"/>
  <c r="R14" i="12"/>
  <c r="R15" i="12"/>
  <c r="R16" i="12"/>
  <c r="R17" i="12"/>
  <c r="R18" i="12"/>
  <c r="R19" i="12"/>
  <c r="R20" i="12"/>
  <c r="R21" i="12"/>
  <c r="R22" i="12"/>
  <c r="R23" i="12"/>
  <c r="T4" i="12"/>
  <c r="U4" i="12"/>
  <c r="G23" i="7"/>
  <c r="H22" i="7"/>
  <c r="I22" i="7"/>
  <c r="J22" i="7"/>
  <c r="S24" i="12"/>
  <c r="P25" i="12"/>
  <c r="Q24" i="12"/>
  <c r="M25" i="12"/>
  <c r="R24" i="12"/>
  <c r="T5" i="12"/>
  <c r="U5" i="12"/>
  <c r="G24" i="7"/>
  <c r="H23" i="7"/>
  <c r="I23" i="7"/>
  <c r="J23" i="7"/>
  <c r="S25" i="12"/>
  <c r="P26" i="12"/>
  <c r="Q25" i="12"/>
  <c r="M26" i="12"/>
  <c r="R25" i="12"/>
  <c r="T6" i="12"/>
  <c r="U6" i="12"/>
  <c r="H24" i="7"/>
  <c r="I24" i="7"/>
  <c r="J24" i="7"/>
  <c r="G25" i="7"/>
  <c r="S26" i="12"/>
  <c r="P27" i="12"/>
  <c r="Q26" i="12"/>
  <c r="M27" i="12"/>
  <c r="R26" i="12"/>
  <c r="T7" i="12"/>
  <c r="U7" i="12"/>
  <c r="H25" i="7"/>
  <c r="I25" i="7"/>
  <c r="J25" i="7"/>
  <c r="G26" i="7"/>
  <c r="S27" i="12"/>
  <c r="P28" i="12"/>
  <c r="Q27" i="12"/>
  <c r="M28" i="12"/>
  <c r="R27" i="12"/>
  <c r="T8" i="12"/>
  <c r="U8" i="12"/>
  <c r="G27" i="7"/>
  <c r="H26" i="7"/>
  <c r="I26" i="7"/>
  <c r="J26" i="7"/>
  <c r="S28" i="12"/>
  <c r="P29" i="12"/>
  <c r="Q28" i="12"/>
  <c r="M29" i="12"/>
  <c r="R28" i="12"/>
  <c r="T9" i="12"/>
  <c r="U9" i="12"/>
  <c r="G28" i="7"/>
  <c r="H27" i="7"/>
  <c r="I27" i="7"/>
  <c r="J27" i="7"/>
  <c r="Q29" i="12"/>
  <c r="P30" i="12"/>
  <c r="Q30" i="12"/>
  <c r="M30" i="12"/>
  <c r="S29" i="12"/>
  <c r="R29" i="12"/>
  <c r="R30" i="12"/>
  <c r="T10" i="12"/>
  <c r="U10" i="12"/>
  <c r="H28" i="7"/>
  <c r="I28" i="7"/>
  <c r="J28" i="7"/>
  <c r="G29" i="7"/>
  <c r="P31" i="12"/>
  <c r="Q31" i="12"/>
  <c r="S30" i="12"/>
  <c r="M31" i="12"/>
  <c r="M32" i="12"/>
  <c r="R31" i="12"/>
  <c r="T11" i="12"/>
  <c r="U11" i="12"/>
  <c r="H29" i="7"/>
  <c r="I29" i="7"/>
  <c r="J29" i="7"/>
  <c r="B11" i="7"/>
  <c r="B12" i="7"/>
  <c r="M33" i="12"/>
  <c r="S32" i="12"/>
  <c r="P32" i="12"/>
  <c r="Q32" i="12"/>
  <c r="S31" i="12"/>
  <c r="R32" i="12"/>
  <c r="T12" i="12"/>
  <c r="U12" i="12"/>
  <c r="M34" i="12"/>
  <c r="S33" i="12"/>
  <c r="P33" i="12"/>
  <c r="Q33" i="12"/>
  <c r="R33" i="12"/>
  <c r="T13" i="12"/>
  <c r="U13" i="12"/>
  <c r="S34" i="12"/>
  <c r="M35" i="12"/>
  <c r="P34" i="12"/>
  <c r="Q34" i="12"/>
  <c r="R34" i="12"/>
  <c r="T14" i="12"/>
  <c r="U14" i="12"/>
  <c r="M36"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<sst xmlns="http://schemas.openxmlformats.org/spreadsheetml/2006/main" count="441" uniqueCount="286">
  <si>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</si>
  <si>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</si>
  <si>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</si>
  <si>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</si>
  <si>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</si>
  <si>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</si>
  <si>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</si>
  <si>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</si>
  <si>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</si>
  <si>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</si>
  <si>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</si>
  <si>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</si>
  <si>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</si>
  <si>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</si>
  <si>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</si>
  <si>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</si>
  <si>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</si>
  <si>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</si>
  <si>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</si>
  <si>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</si>
  <si>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</si>
  <si>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</si>
  <si>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</si>
  <si>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</si>
  <si>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</si>
  <si>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</si>
  <si>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</si>
  <si>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</si>
  <si>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</si>
  <si>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</si>
  <si>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</si>
  <si>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</si>
  <si>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</si>
  <si>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</si>
  <si>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</si>
  <si>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</si>
  <si>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</si>
  <si>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</si>
  <si>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</si>
  <si>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</si>
  <si>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</si>
  <si>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</si>
  <si>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</si>
  <si>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</si>
  <si>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</si>
  <si>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</si>
  <si>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</si>
  <si>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</si>
  <si>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105/SH 321 Intersection Improvements</t>
  </si>
  <si>
    <t>County</t>
  </si>
  <si>
    <t>Liberty</t>
  </si>
  <si>
    <t>Data entered by the sponsors</t>
  </si>
  <si>
    <t>Facility Type</t>
  </si>
  <si>
    <t>Non-Freeway</t>
  </si>
  <si>
    <t>HGAC regional travel demand model data provided by HGAC upon request</t>
  </si>
  <si>
    <t>Street Name:</t>
  </si>
  <si>
    <t>SH 105</t>
  </si>
  <si>
    <t>Populated based on selection in cell "C18"</t>
  </si>
  <si>
    <t>Limits (From)</t>
  </si>
  <si>
    <t>SH 321 (west intersection)</t>
  </si>
  <si>
    <t>Benefits calculated by the template</t>
  </si>
  <si>
    <t>Limits (To)</t>
  </si>
  <si>
    <t>SH 321 (east intersection)</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</si>
  <si>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</si>
  <si>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</si>
  <si>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</si>
  <si>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</si>
  <si>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</si>
  <si>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</si>
  <si>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</si>
  <si>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Widen Lane(s)</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</si>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</sst>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ht="30">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4.2</v>
      </c>
      <c r="D12" s="79"/>
      <c r="N12" s="133"/>
      <c r="O12" s="133"/>
      <c r="P12" s="133"/>
      <c r="Q12" s="133"/>
      <c r="R12" s="133"/>
      <c r="S12" s="133"/>
    </row>
    <row r="13" spans="2:19">
      <c r="B13" s="3" t="s">
        <v>64</v>
      </c>
      <c r="C13" s="97">
        <v>259</v>
      </c>
      <c r="D13" s="53"/>
    </row>
    <row r="14" spans="2:19">
      <c r="B14" s="3" t="s">
        <v>65</v>
      </c>
      <c r="C14" s="97" t="s">
        <v>66</v>
      </c>
      <c r="D14" s="53"/>
      <c r="G14" s="90"/>
    </row>
    <row r="15" spans="2:19">
      <c r="C15" s="53"/>
      <c r="D15" s="53"/>
    </row>
    <row r="16" spans="2:19">
      <c r="B16" s="5" t="s">
        <v>67</v>
      </c>
    </row>
    <row r="17" spans="2:13">
      <c r="B17" s="3" t="s">
        <v>68</v>
      </c>
      <c r="C17" s="97">
        <v>2022</v>
      </c>
      <c r="D17" s="80"/>
    </row>
    <row r="18" spans="2:13">
      <c r="B18" s="3" t="s">
        <v>69</v>
      </c>
      <c r="C18" s="98" t="s">
        <v>70</v>
      </c>
    </row>
    <row r="19" spans="2:13">
      <c r="B19" s="99" t="s">
        <v>71</v>
      </c>
      <c r="C19" s="128">
        <f>VLOOKUP(C18,'CRF Lookup Table'!C3:F84,2, FALSE)</f>
        <v>502</v>
      </c>
      <c r="D19" s="81"/>
    </row>
    <row r="20" spans="2:13">
      <c r="B20" s="99" t="s">
        <v>72</v>
      </c>
      <c r="C20" s="129">
        <f>VLOOKUP(C18,'CRF Lookup Table'!C3:F84,3, FALSE)</f>
        <v>0.3</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17345</v>
      </c>
      <c r="D25" s="82"/>
      <c r="I25" s="41"/>
    </row>
    <row r="26" spans="2:13">
      <c r="I26" s="41"/>
    </row>
    <row r="27" spans="2:13">
      <c r="B27" s="73" t="s">
        <v>76</v>
      </c>
      <c r="C27" s="74">
        <v>7632</v>
      </c>
      <c r="D27" s="82"/>
      <c r="I27" s="41"/>
    </row>
    <row r="28" spans="2:13">
      <c r="B28" s="73" t="s">
        <v>77</v>
      </c>
      <c r="C28" s="74">
        <v>11422</v>
      </c>
      <c r="D28" s="82"/>
      <c r="I28" s="41"/>
    </row>
    <row r="29" spans="2:13">
      <c r="B29" s="73" t="s">
        <v>78</v>
      </c>
      <c r="C29" s="75">
        <v>7227</v>
      </c>
      <c r="D29" s="58"/>
      <c r="I29" s="41"/>
    </row>
    <row r="30" spans="2:13">
      <c r="B30" s="73" t="s">
        <v>79</v>
      </c>
      <c r="C30" s="75">
        <v>11422</v>
      </c>
      <c r="D30" s="58"/>
      <c r="I30" s="41"/>
    </row>
    <row r="31" spans="2:13">
      <c r="B31" s="73" t="s">
        <v>80</v>
      </c>
      <c r="C31" s="74">
        <v>9742</v>
      </c>
      <c r="D31" s="82"/>
      <c r="H31" s="59"/>
    </row>
    <row r="32" spans="2:13">
      <c r="B32" s="73" t="s">
        <v>81</v>
      </c>
      <c r="C32" s="74">
        <v>11422</v>
      </c>
      <c r="D32" s="82"/>
    </row>
    <row r="34" spans="2:9" ht="18.75">
      <c r="B34" s="43" t="s">
        <v>82</v>
      </c>
      <c r="C34" s="44"/>
      <c r="D34" s="44"/>
      <c r="E34" s="44"/>
      <c r="F34" s="44"/>
      <c r="I34" s="59"/>
    </row>
    <row r="36" spans="2:9">
      <c r="B36" s="9" t="s">
        <v>83</v>
      </c>
    </row>
    <row r="37" spans="2:9">
      <c r="B37" s="8" t="s">
        <v>84</v>
      </c>
      <c r="C37" s="34">
        <f>Calculations!U37</f>
        <v>33480.188375652644</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16812.902721930041</v>
      </c>
      <c r="G4" s="136" t="s">
        <v>95</v>
      </c>
      <c r="H4" s="136"/>
      <c r="I4" s="136"/>
      <c r="J4" s="136"/>
      <c r="L4" s="106"/>
      <c r="M4" s="107">
        <v>2018</v>
      </c>
      <c r="N4" s="108">
        <f>_2018_Volume_ADT</f>
        <v>17345</v>
      </c>
      <c r="O4" s="109" t="s">
        <v>96</v>
      </c>
      <c r="P4" s="110">
        <f>MIN(B12,1)</f>
        <v>0.66818420591840311</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70614.191432106178</v>
      </c>
      <c r="G5" s="137" t="s">
        <v>99</v>
      </c>
      <c r="H5" s="137"/>
      <c r="I5" s="137"/>
      <c r="J5" s="111">
        <f>SUMPRODUCT(Possible_Crash_Reductions,'Value of Statistical Life'!E5:E11)</f>
        <v>3663875.4611020833</v>
      </c>
      <c r="L5" s="106"/>
      <c r="M5" s="11">
        <f t="shared" ref="M5:M36" si="1">M4+1</f>
        <v>2019</v>
      </c>
      <c r="N5" s="112">
        <f>N4+(N4*O5)</f>
        <v>17210.417395608642</v>
      </c>
      <c r="O5" s="113">
        <f t="shared" ref="O5:O11" si="2">IF(ISERROR(_2025_2045_Demand_Growth),_2018_2045_Demand_Growth,_2018_2025_Demand_Growth)</f>
        <v>-7.759158512041453E-3</v>
      </c>
      <c r="P5" s="114">
        <f t="shared" ref="P5:P11" si="3">P4*(1+IFERROR(_2018_2025_V_C_Growth,_2018_2045_V_C_Growth))</f>
        <v>0.66299965874943967</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18359689.772347607</v>
      </c>
      <c r="L6" s="106"/>
      <c r="M6" s="107">
        <f t="shared" si="1"/>
        <v>2020</v>
      </c>
      <c r="N6" s="112">
        <f t="shared" ref="N6:N36" si="6">N5+(N5*O6)</f>
        <v>17076.879038977717</v>
      </c>
      <c r="O6" s="113">
        <f t="shared" si="2"/>
        <v>-7.759158512041453E-3</v>
      </c>
      <c r="P6" s="114">
        <f t="shared" si="3"/>
        <v>0.65785533930377338</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16944.376827623331</v>
      </c>
      <c r="O7" s="113">
        <f t="shared" si="2"/>
        <v>-7.759158512041453E-3</v>
      </c>
      <c r="P7" s="114">
        <f t="shared" si="3"/>
        <v>0.65275093544812257</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16812.902721930041</v>
      </c>
      <c r="O8" s="113">
        <f t="shared" si="2"/>
        <v>-7.759158512041453E-3</v>
      </c>
      <c r="P8" s="114">
        <f t="shared" si="3"/>
        <v>0.64768613747109727</v>
      </c>
      <c r="Q8" s="115">
        <f t="shared" si="4"/>
        <v>1</v>
      </c>
      <c r="R8" s="30">
        <f>IF(M8=Year_Open_to_Traffic?,Calculations!$J$5,Calculations!R7+(Calculations!R7*Calculations!O8*Q8))</f>
        <v>3663875.4611020833</v>
      </c>
      <c r="S8" s="45">
        <f t="shared" si="0"/>
        <v>1</v>
      </c>
      <c r="T8" s="30">
        <f t="shared" si="5"/>
        <v>3663.8754611020831</v>
      </c>
      <c r="U8" s="31">
        <f>T8/(1+Real_Discount_Rate)^(Calculations!M8-'Assumed Values'!$C$5)</f>
        <v>2795.1530468131978</v>
      </c>
    </row>
    <row r="9" spans="1:21" ht="15.75">
      <c r="A9" s="39" t="s">
        <v>103</v>
      </c>
      <c r="B9" s="118">
        <f>(_2025_Peak_Period_Volume/'Inputs &amp; Outputs'!$C$27)^(1/(2025-2018))-1</f>
        <v>-7.759158512041453E-3</v>
      </c>
      <c r="D9" s="39" t="s">
        <v>104</v>
      </c>
      <c r="E9" s="119">
        <f>IF('Inputs &amp; Outputs'!$C$8='CRASH RATES'!$D$3, VLOOKUP('Inputs &amp; Outputs'!$C$7,'CRASH RATES'!$C$14:$J$21,3,FALSE), VLOOKUP('Inputs &amp; Outputs'!$C$7,'CRASH RATES'!$C$28:$J$35,3,FALSE))</f>
        <v>5.3130646924395055</v>
      </c>
      <c r="F9" s="85"/>
      <c r="L9" s="106"/>
      <c r="M9" s="11">
        <f t="shared" si="1"/>
        <v>2023</v>
      </c>
      <c r="N9" s="112">
        <f t="shared" si="6"/>
        <v>16682.448744663052</v>
      </c>
      <c r="O9" s="113">
        <f t="shared" si="2"/>
        <v>-7.759158512041453E-3</v>
      </c>
      <c r="P9" s="114">
        <f t="shared" si="3"/>
        <v>0.6426606380644071</v>
      </c>
      <c r="Q9" s="115">
        <f t="shared" si="4"/>
        <v>1</v>
      </c>
      <c r="R9" s="30">
        <f>IF(M9=Year_Open_to_Traffic?,Calculations!$J$5,Calculations!R8+(Calculations!R8*Calculations!O9*Q9))</f>
        <v>3635446.8706310131</v>
      </c>
      <c r="S9" s="45">
        <f t="shared" si="0"/>
        <v>1</v>
      </c>
      <c r="T9" s="30">
        <f t="shared" si="5"/>
        <v>3635.4468706310131</v>
      </c>
      <c r="U9" s="31">
        <f>T9/(1+Real_Discount_Rate)^(Calculations!M9-'Assumed Values'!$C$5)</f>
        <v>2592.0233750070638</v>
      </c>
    </row>
    <row r="10" spans="1:21" ht="15.75">
      <c r="A10" s="39" t="s">
        <v>105</v>
      </c>
      <c r="B10" s="118">
        <f>(_2045_Peak_Period_Volume/_2025_Peak_Period_Volume)^(1/(2045-2025))-1</f>
        <v>1.5043147207389529E-2</v>
      </c>
      <c r="D10" s="39" t="s">
        <v>106</v>
      </c>
      <c r="E10" s="119">
        <f>IF('Inputs &amp; Outputs'!$C$8='CRASH RATES'!$D$3, VLOOKUP('Inputs &amp; Outputs'!$C$7,'CRASH RATES'!$C$14:$J$21,4,FALSE), VLOOKUP('Inputs &amp; Outputs'!$C$7,'CRASH RATES'!$C$28:$J$35,4,FALSE))</f>
        <v>9.8447963418732023</v>
      </c>
      <c r="F10" s="85"/>
      <c r="L10" s="106"/>
      <c r="M10" s="107">
        <f t="shared" si="1"/>
        <v>2024</v>
      </c>
      <c r="N10" s="112">
        <f t="shared" si="6"/>
        <v>16553.006980484206</v>
      </c>
      <c r="O10" s="113">
        <f t="shared" si="2"/>
        <v>-7.759158512041453E-3</v>
      </c>
      <c r="P10" s="114">
        <f t="shared" si="3"/>
        <v>0.63767413230421566</v>
      </c>
      <c r="Q10" s="115">
        <f t="shared" si="4"/>
        <v>1</v>
      </c>
      <c r="R10" s="30">
        <f>IF(M10=Year_Open_to_Traffic?,Calculations!$J$5,Calculations!R9+(Calculations!R9*Calculations!O10*Q10))</f>
        <v>3607238.862099682</v>
      </c>
      <c r="S10" s="45">
        <f t="shared" si="0"/>
        <v>1</v>
      </c>
      <c r="T10" s="30">
        <f t="shared" si="5"/>
        <v>3607.2388620996821</v>
      </c>
      <c r="U10" s="31">
        <f>T10/(1+Real_Discount_Rate)^(Calculations!M10-'Assumed Values'!$C$5)</f>
        <v>2403.6555652088482</v>
      </c>
    </row>
    <row r="11" spans="1:21" ht="15.75">
      <c r="A11" s="39" t="s">
        <v>107</v>
      </c>
      <c r="B11" s="118">
        <f>(_2045_Peak_Period_Volume/'Inputs &amp; Outputs'!$C$27)^(1/(2045-2018))-1</f>
        <v>9.0816009130538777E-3</v>
      </c>
      <c r="D11" s="39" t="s">
        <v>108</v>
      </c>
      <c r="E11" s="119">
        <f>IF('Inputs &amp; Outputs'!$C$8='CRASH RATES'!$D$3, VLOOKUP('Inputs &amp; Outputs'!$C$7,'CRASH RATES'!$C$14:$J$21,5,FALSE), VLOOKUP('Inputs &amp; Outputs'!$C$7,'CRASH RATES'!$C$28:$J$35,5,FALSE))</f>
        <v>24.065057724578939</v>
      </c>
      <c r="F11" s="85"/>
      <c r="L11" s="106"/>
      <c r="M11" s="11">
        <f t="shared" si="1"/>
        <v>2025</v>
      </c>
      <c r="N11" s="112">
        <f t="shared" si="6"/>
        <v>16424.569575471702</v>
      </c>
      <c r="O11" s="113">
        <f t="shared" si="2"/>
        <v>-7.759158512041453E-3</v>
      </c>
      <c r="P11" s="114">
        <f t="shared" si="3"/>
        <v>0.63272631763263876</v>
      </c>
      <c r="Q11" s="115">
        <f t="shared" si="4"/>
        <v>1</v>
      </c>
      <c r="R11" s="30">
        <f>IF(M11=Year_Open_to_Traffic?,Calculations!$J$5,Calculations!R10+(Calculations!R10*Calculations!O11*Q11))</f>
        <v>3579249.7239778545</v>
      </c>
      <c r="S11" s="45">
        <f t="shared" si="0"/>
        <v>1</v>
      </c>
      <c r="T11" s="30">
        <f t="shared" si="5"/>
        <v>3579.2497239778545</v>
      </c>
      <c r="U11" s="31">
        <f>T11/(1+Real_Discount_Rate)^(Calculations!M11-'Assumed Values'!$C$5)</f>
        <v>2228.976841747703</v>
      </c>
    </row>
    <row r="12" spans="1:21" ht="15.75">
      <c r="A12" s="39" t="s">
        <v>109</v>
      </c>
      <c r="B12" s="120">
        <f>'Inputs &amp; Outputs'!C27/_2018_Peak_Period_Capacity</f>
        <v>0.66818420591840311</v>
      </c>
      <c r="D12" s="39" t="s">
        <v>110</v>
      </c>
      <c r="E12" s="119">
        <f>IF('Inputs &amp; Outputs'!$C$8='CRASH RATES'!$D$3, VLOOKUP('Inputs &amp; Outputs'!$C$7,'CRASH RATES'!$C$14:$J$21,6,FALSE), VLOOKUP('Inputs &amp; Outputs'!$C$7,'CRASH RATES'!$C$28:$J$35,6,FALSE))</f>
        <v>52.349313881389243</v>
      </c>
      <c r="F12" s="85"/>
      <c r="L12" s="106"/>
      <c r="M12" s="107">
        <f t="shared" si="1"/>
        <v>2026</v>
      </c>
      <c r="N12" s="112">
        <f t="shared" si="6"/>
        <v>16671.646793413533</v>
      </c>
      <c r="O12" s="113">
        <f t="shared" ref="O12:O36" si="7">IFERROR(_2025_2045_Demand_Growth,_2018_2045_Demand_Growth)</f>
        <v>1.5043147207389529E-2</v>
      </c>
      <c r="P12" s="114">
        <f t="shared" ref="P12:P36" si="8">P11*(1+IFERROR(_2025_2040_V_C_Growth,_2018_2045_V_C_Growth))</f>
        <v>0.6422445127707761</v>
      </c>
      <c r="Q12" s="115">
        <f t="shared" si="4"/>
        <v>1</v>
      </c>
      <c r="R12" s="30">
        <f>IF(M12=Year_Open_to_Traffic?,Calculations!$J$5,Calculations!R11+(Calculations!R11*Calculations!O12*Q12))</f>
        <v>3633092.9044676619</v>
      </c>
      <c r="S12" s="45">
        <f t="shared" si="0"/>
        <v>1</v>
      </c>
      <c r="T12" s="30">
        <f t="shared" si="5"/>
        <v>3633.0929044676618</v>
      </c>
      <c r="U12" s="31">
        <f>T12/(1+Real_Discount_Rate)^(Calculations!M12-'Assumed Values'!$C$5)</f>
        <v>2114.4931481308186</v>
      </c>
    </row>
    <row r="13" spans="1:21" ht="15.75">
      <c r="A13" s="39" t="s">
        <v>111</v>
      </c>
      <c r="B13" s="120">
        <f>_2025_Peak_Period_Volume/_2025_Peak_Period_Capacity</f>
        <v>0.63272631763263876</v>
      </c>
      <c r="D13" s="39" t="s">
        <v>112</v>
      </c>
      <c r="E13" s="119">
        <f>IF('Inputs &amp; Outputs'!$C$8='CRASH RATES'!$D$3, VLOOKUP('Inputs &amp; Outputs'!$C$7,'CRASH RATES'!$C$14:$J$21,7,FALSE), VLOOKUP('Inputs &amp; Outputs'!$C$7,'CRASH RATES'!$C$28:$J$35,7,FALSE))</f>
        <v>389.41638863409548</v>
      </c>
      <c r="F13" s="85"/>
      <c r="L13" s="106"/>
      <c r="M13" s="11">
        <f t="shared" si="1"/>
        <v>2027</v>
      </c>
      <c r="N13" s="112">
        <f t="shared" si="6"/>
        <v>16922.440830316456</v>
      </c>
      <c r="O13" s="113">
        <f t="shared" si="7"/>
        <v>1.5043147207389529E-2</v>
      </c>
      <c r="P13" s="114">
        <f t="shared" si="8"/>
        <v>0.65190589151952505</v>
      </c>
      <c r="Q13" s="115">
        <f t="shared" si="4"/>
        <v>1</v>
      </c>
      <c r="R13" s="30">
        <f>IF(M13=Year_Open_to_Traffic?,Calculations!$J$5,Calculations!R12+(Calculations!R12*Calculations!O13*Q13))</f>
        <v>3687746.0558476914</v>
      </c>
      <c r="S13" s="45">
        <f t="shared" si="0"/>
        <v>1</v>
      </c>
      <c r="T13" s="30">
        <f t="shared" si="5"/>
        <v>3687.7460558476914</v>
      </c>
      <c r="U13" s="31">
        <f>T13/(1+Real_Discount_Rate)^(Calculations!M13-'Assumed Values'!$C$5)</f>
        <v>2005.8895138571652</v>
      </c>
    </row>
    <row r="14" spans="1:21" ht="15.75">
      <c r="A14" s="39" t="s">
        <v>113</v>
      </c>
      <c r="B14" s="120">
        <f>_2045_Peak_Period_Volume/_2045_Peak_Period_Capacity</f>
        <v>0.85291542637016282</v>
      </c>
      <c r="D14" s="39" t="s">
        <v>114</v>
      </c>
      <c r="E14" s="119">
        <f>IF('Inputs &amp; Outputs'!$C$8='CRASH RATES'!$D$3, VLOOKUP('Inputs &amp; Outputs'!$C$7,'CRASH RATES'!$C$14:$J$21,8,FALSE), VLOOKUP('Inputs &amp; Outputs'!$C$7,'CRASH RATES'!$C$28:$J$35,8,FALSE))</f>
        <v>13.126395122497602</v>
      </c>
      <c r="F14" s="85"/>
      <c r="L14" s="106"/>
      <c r="M14" s="107">
        <f>M13+1</f>
        <v>2028</v>
      </c>
      <c r="N14" s="112">
        <f t="shared" si="6"/>
        <v>17177.007598835247</v>
      </c>
      <c r="O14" s="113">
        <f t="shared" si="7"/>
        <v>1.5043147207389529E-2</v>
      </c>
      <c r="P14" s="114">
        <f>P13*(1+IFERROR(_2025_2040_V_C_Growth,_2018_2045_V_C_Growth))</f>
        <v>0.66171260781101782</v>
      </c>
      <c r="Q14" s="115">
        <f t="shared" si="4"/>
        <v>1</v>
      </c>
      <c r="R14" s="30">
        <f>IF(M14=Year_Open_to_Traffic?,Calculations!$J$5,Calculations!R13+(Calculations!R13*Calculations!O14*Q14))</f>
        <v>3743221.3626292781</v>
      </c>
      <c r="S14" s="45">
        <f t="shared" si="0"/>
        <v>1</v>
      </c>
      <c r="T14" s="30">
        <f t="shared" si="5"/>
        <v>3743.2213626292782</v>
      </c>
      <c r="U14" s="31">
        <f>T14/(1+Real_Discount_Rate)^(Calculations!M14-'Assumed Values'!$C$5)</f>
        <v>1902.8639299961474</v>
      </c>
    </row>
    <row r="15" spans="1:21" ht="15.75">
      <c r="A15" s="39" t="s">
        <v>115</v>
      </c>
      <c r="B15" s="118">
        <f>(B13/B12)^(1/(2025-2018))-1</f>
        <v>-7.759158512041453E-3</v>
      </c>
      <c r="L15" s="106"/>
      <c r="M15" s="11">
        <f>M14+1</f>
        <v>2029</v>
      </c>
      <c r="N15" s="112">
        <f t="shared" si="6"/>
        <v>17435.403852726973</v>
      </c>
      <c r="O15" s="113">
        <f t="shared" si="7"/>
        <v>1.5043147207389529E-2</v>
      </c>
      <c r="P15" s="114">
        <f>P14*(1+IFERROR(_2025_2040_V_C_Growth,_2018_2045_V_C_Growth))</f>
        <v>0.67166684797930454</v>
      </c>
      <c r="Q15" s="115">
        <f t="shared" si="4"/>
        <v>1</v>
      </c>
      <c r="R15" s="30">
        <f>IF(M15=Year_Open_to_Traffic?,Calculations!$J$5,Calculations!R14+(Calculations!R14*Calculations!O15*Q15))</f>
        <v>3799531.1926171556</v>
      </c>
      <c r="S15" s="45">
        <f t="shared" si="0"/>
        <v>1</v>
      </c>
      <c r="T15" s="30">
        <f t="shared" si="5"/>
        <v>3799.5311926171557</v>
      </c>
      <c r="U15" s="31">
        <f>T15/(1+Real_Discount_Rate)^(Calculations!M15-'Assumed Values'!$C$5)</f>
        <v>1805.1298992623467</v>
      </c>
    </row>
    <row r="16" spans="1:21" ht="15.75">
      <c r="A16" s="39" t="s">
        <v>116</v>
      </c>
      <c r="B16" s="118">
        <f>(B14/B13)^(1/(2045-2025))-1</f>
        <v>1.5043147207389529E-2</v>
      </c>
      <c r="D16" s="121" t="s">
        <v>117</v>
      </c>
      <c r="E16" s="57"/>
      <c r="L16" s="106"/>
      <c r="M16" s="107">
        <f t="shared" si="1"/>
        <v>2030</v>
      </c>
      <c r="N16" s="112">
        <f t="shared" si="6"/>
        <v>17697.687199503831</v>
      </c>
      <c r="O16" s="113">
        <f t="shared" si="7"/>
        <v>1.5043147207389529E-2</v>
      </c>
      <c r="P16" s="114">
        <f t="shared" si="8"/>
        <v>0.6817708312477806</v>
      </c>
      <c r="Q16" s="115">
        <f t="shared" si="4"/>
        <v>1</v>
      </c>
      <c r="R16" s="30">
        <f>IF(M16=Year_Open_to_Traffic?,Calculations!$J$5,Calculations!R15+(Calculations!R15*Calculations!O16*Q16))</f>
        <v>3856688.0996667636</v>
      </c>
      <c r="S16" s="45">
        <f t="shared" si="0"/>
        <v>1</v>
      </c>
      <c r="T16" s="30">
        <f t="shared" si="5"/>
        <v>3856.6880996667637</v>
      </c>
      <c r="U16" s="31">
        <f>T16/(1+Real_Discount_Rate)^(Calculations!M16-'Assumed Values'!$C$5)</f>
        <v>1712.4156393134679</v>
      </c>
    </row>
    <row r="17" spans="1:21" ht="15.75">
      <c r="A17" s="39" t="s">
        <v>118</v>
      </c>
      <c r="B17" s="118">
        <f>(B14/B12)^(1/(2045-2018))-1</f>
        <v>9.0816009130538777E-3</v>
      </c>
      <c r="D17" s="39" t="s">
        <v>119</v>
      </c>
      <c r="E17" s="122">
        <f>($E$6*Death_Rate)/100000000</f>
        <v>0.9754621949360277</v>
      </c>
      <c r="L17" s="106"/>
      <c r="M17" s="11">
        <f t="shared" si="1"/>
        <v>2031</v>
      </c>
      <c r="N17" s="112">
        <f t="shared" si="6"/>
        <v>17963.9161132763</v>
      </c>
      <c r="O17" s="113">
        <f t="shared" si="7"/>
        <v>1.5043147207389529E-2</v>
      </c>
      <c r="P17" s="114">
        <f t="shared" si="8"/>
        <v>0.6920268102239453</v>
      </c>
      <c r="Q17" s="115">
        <f t="shared" si="4"/>
        <v>1</v>
      </c>
      <c r="R17" s="30">
        <f>IF(M17=Year_Open_to_Traffic?,Calculations!$J$5,Calculations!R16+(Calculations!R16*Calculations!O17*Q17))</f>
        <v>3914704.8264830383</v>
      </c>
      <c r="S17" s="45">
        <f t="shared" si="0"/>
        <v>1</v>
      </c>
      <c r="T17" s="30">
        <f t="shared" si="5"/>
        <v>3914.7048264830382</v>
      </c>
      <c r="U17" s="31">
        <f>T17/(1+Real_Discount_Rate)^(Calculations!M17-'Assumed Values'!$C$5)</f>
        <v>1624.4633269681274</v>
      </c>
    </row>
    <row r="18" spans="1:21" ht="15.75">
      <c r="D18" s="39" t="s">
        <v>120</v>
      </c>
      <c r="E18" s="122">
        <f>($E$6*Incap_Injry_Rate)/100000000</f>
        <v>1.8074740670873457</v>
      </c>
      <c r="L18" s="106"/>
      <c r="M18" s="107">
        <f t="shared" si="1"/>
        <v>2032</v>
      </c>
      <c r="N18" s="112">
        <f t="shared" si="6"/>
        <v>18234.149947789512</v>
      </c>
      <c r="O18" s="113">
        <f t="shared" si="7"/>
        <v>1.5043147207389529E-2</v>
      </c>
      <c r="P18" s="114">
        <f t="shared" si="8"/>
        <v>0.70243707140160427</v>
      </c>
      <c r="Q18" s="115">
        <f t="shared" si="4"/>
        <v>1</v>
      </c>
      <c r="R18" s="30">
        <f>IF(M18=Year_Open_to_Traffic?,Calculations!$J$5,Calculations!R17+(Calculations!R17*Calculations!O18*Q18))</f>
        <v>3973594.3074613009</v>
      </c>
      <c r="S18" s="45">
        <f t="shared" si="0"/>
        <v>1</v>
      </c>
      <c r="T18" s="30">
        <f t="shared" si="5"/>
        <v>3973.594307461301</v>
      </c>
      <c r="U18" s="31">
        <f>T18/(1+Real_Discount_Rate)^(Calculations!M18-'Assumed Values'!$C$5)</f>
        <v>1541.0283812417897</v>
      </c>
    </row>
    <row r="19" spans="1:21" ht="15.75">
      <c r="D19" s="39" t="s">
        <v>121</v>
      </c>
      <c r="E19" s="122">
        <f>($E$6*Nonincap_Injry_Rate)/100000000</f>
        <v>4.4182699417690667</v>
      </c>
      <c r="L19" s="106"/>
      <c r="M19" s="11">
        <f t="shared" si="1"/>
        <v>2033</v>
      </c>
      <c r="N19" s="112">
        <f t="shared" si="6"/>
        <v>18508.448949655725</v>
      </c>
      <c r="O19" s="113">
        <f t="shared" si="7"/>
        <v>1.5043147207389529E-2</v>
      </c>
      <c r="P19" s="114">
        <f t="shared" si="8"/>
        <v>0.71300393567062614</v>
      </c>
      <c r="Q19" s="115">
        <f t="shared" si="4"/>
        <v>1</v>
      </c>
      <c r="R19" s="30">
        <f>IF(M19=Year_Open_to_Traffic?,Calculations!$J$5,Calculations!R18+(Calculations!R18*Calculations!O19*Q19))</f>
        <v>4033369.6715708864</v>
      </c>
      <c r="S19" s="45">
        <f t="shared" si="0"/>
        <v>1</v>
      </c>
      <c r="T19" s="30">
        <f t="shared" si="5"/>
        <v>4033.3696715708866</v>
      </c>
      <c r="U19" s="31">
        <f>T19/(1+Real_Discount_Rate)^(Calculations!M19-'Assumed Values'!$C$5)</f>
        <v>1461.8787832070793</v>
      </c>
    </row>
    <row r="20" spans="1:21" ht="15.75">
      <c r="D20" s="39" t="s">
        <v>122</v>
      </c>
      <c r="E20" s="122">
        <f>($E$6*Poss_Injry_Rate/100000000)</f>
        <v>9.6111716265755671</v>
      </c>
      <c r="L20" s="106"/>
      <c r="M20" s="107">
        <f t="shared" si="1"/>
        <v>2034</v>
      </c>
      <c r="N20" s="112">
        <f t="shared" si="6"/>
        <v>18786.874271785851</v>
      </c>
      <c r="O20" s="113">
        <f t="shared" si="7"/>
        <v>1.5043147207389529E-2</v>
      </c>
      <c r="P20" s="114">
        <f t="shared" si="8"/>
        <v>0.72372975883436752</v>
      </c>
      <c r="Q20" s="115">
        <f t="shared" si="4"/>
        <v>1</v>
      </c>
      <c r="R20" s="30">
        <f>IF(M20=Year_Open_to_Traffic?,Calculations!$J$5,Calculations!R19+(Calculations!R19*Calculations!O20*Q20))</f>
        <v>4094044.2452821475</v>
      </c>
      <c r="S20" s="45">
        <f t="shared" si="0"/>
        <v>1</v>
      </c>
      <c r="T20" s="30">
        <f t="shared" si="5"/>
        <v>4094.0442452821476</v>
      </c>
      <c r="U20" s="31">
        <f>T20/(1+Real_Discount_Rate)^(Calculations!M20-'Assumed Values'!$C$5)</f>
        <v>1386.7944307871244</v>
      </c>
    </row>
    <row r="21" spans="1:21" ht="15.75">
      <c r="D21" s="39" t="s">
        <v>123</v>
      </c>
      <c r="E21" s="122">
        <f>($E$6*Non_Injry_Rate)/100000000</f>
        <v>71.49564087589944</v>
      </c>
      <c r="L21" s="106"/>
      <c r="M21" s="11">
        <f>M20+1</f>
        <v>2035</v>
      </c>
      <c r="N21" s="112">
        <f t="shared" si="6"/>
        <v>19069.487987023043</v>
      </c>
      <c r="O21" s="113">
        <f t="shared" si="7"/>
        <v>1.5043147207389529E-2</v>
      </c>
      <c r="P21" s="114">
        <f>P20*(1+IFERROR(_2025_2040_V_C_Growth,_2018_2045_V_C_Growth))</f>
        <v>0.73461693213488144</v>
      </c>
      <c r="Q21" s="115">
        <f t="shared" si="4"/>
        <v>1</v>
      </c>
      <c r="R21" s="30">
        <f>IF(M21=Year_Open_to_Traffic?,Calculations!$J$5,Calculations!R20+(Calculations!R20*Calculations!O21*Q21))</f>
        <v>4155631.555537493</v>
      </c>
      <c r="S21" s="45">
        <f t="shared" si="0"/>
        <v>1</v>
      </c>
      <c r="T21" s="30">
        <f t="shared" si="5"/>
        <v>4155.6315555374931</v>
      </c>
      <c r="U21" s="31">
        <f>T21/(1+Real_Discount_Rate)^(Calculations!M21-'Assumed Values'!$C$5)</f>
        <v>1315.5665266877038</v>
      </c>
    </row>
    <row r="22" spans="1:21" ht="15.75">
      <c r="D22" s="39" t="s">
        <v>124</v>
      </c>
      <c r="E22" s="122">
        <f>($E$6*Unkn_Injry_Rate)/100000000</f>
        <v>2.4099654227831273</v>
      </c>
      <c r="L22" s="106"/>
      <c r="M22" s="107">
        <f>M21+1</f>
        <v>2036</v>
      </c>
      <c r="N22" s="112">
        <f t="shared" si="6"/>
        <v>19356.353101981378</v>
      </c>
      <c r="O22" s="113">
        <f t="shared" si="7"/>
        <v>1.5043147207389529E-2</v>
      </c>
      <c r="P22" s="114">
        <f t="shared" si="8"/>
        <v>0.74566788278602736</v>
      </c>
      <c r="Q22" s="115">
        <f t="shared" si="4"/>
        <v>1</v>
      </c>
      <c r="R22" s="30">
        <f>IF(M22=Year_Open_to_Traffic?,Calculations!$J$5,Calculations!R21+(Calculations!R21*Calculations!O22*Q22))</f>
        <v>4218145.3327671168</v>
      </c>
      <c r="S22" s="45">
        <f t="shared" si="0"/>
        <v>1</v>
      </c>
      <c r="T22" s="30">
        <f t="shared" si="5"/>
        <v>4218.145332767117</v>
      </c>
      <c r="U22" s="31">
        <f>T22/(1+Real_Discount_Rate)^(Calculations!M22-'Assumed Values'!$C$5)</f>
        <v>1247.9969977661506</v>
      </c>
    </row>
    <row r="23" spans="1:21" ht="15.75">
      <c r="L23" s="106"/>
      <c r="M23" s="11">
        <f t="shared" si="1"/>
        <v>2037</v>
      </c>
      <c r="N23" s="112">
        <f t="shared" si="6"/>
        <v>19647.533571092696</v>
      </c>
      <c r="O23" s="113">
        <f t="shared" si="7"/>
        <v>1.5043147207389529E-2</v>
      </c>
      <c r="P23" s="114">
        <f t="shared" si="8"/>
        <v>0.75688507451460008</v>
      </c>
      <c r="Q23" s="115">
        <f t="shared" si="4"/>
        <v>1</v>
      </c>
      <c r="R23" s="30">
        <f>IF(M23=Year_Open_to_Traffic?,Calculations!$J$5,Calculations!R22+(Calculations!R22*Calculations!O23*Q23))</f>
        <v>4281599.5139500955</v>
      </c>
      <c r="S23" s="45">
        <f t="shared" si="0"/>
        <v>1</v>
      </c>
      <c r="T23" s="30">
        <f t="shared" si="5"/>
        <v>4281.5995139500956</v>
      </c>
      <c r="U23" s="31">
        <f>T23/(1+Real_Discount_Rate)^(Calculations!M23-'Assumed Values'!$C$5)</f>
        <v>1183.8979442223615</v>
      </c>
    </row>
    <row r="24" spans="1:21" ht="15.75">
      <c r="L24" s="106"/>
      <c r="M24" s="107">
        <f t="shared" si="1"/>
        <v>2038</v>
      </c>
      <c r="N24" s="112">
        <f t="shared" si="6"/>
        <v>19943.09431086477</v>
      </c>
      <c r="O24" s="113">
        <f t="shared" si="7"/>
        <v>1.5043147207389529E-2</v>
      </c>
      <c r="P24" s="114">
        <f t="shared" si="8"/>
        <v>0.76827100810959925</v>
      </c>
      <c r="Q24" s="115">
        <f t="shared" si="4"/>
        <v>1</v>
      </c>
      <c r="R24" s="30">
        <f>IF(M24=Year_Open_to_Traffic?,Calculations!$J$5,Calculations!R23+(Calculations!R23*Calculations!O24*Q24))</f>
        <v>4346008.2457215339</v>
      </c>
      <c r="S24" s="45">
        <f t="shared" si="0"/>
        <v>1</v>
      </c>
      <c r="T24" s="30">
        <f t="shared" si="5"/>
        <v>4346.008245721534</v>
      </c>
      <c r="U24" s="31">
        <f>T24/(1+Real_Discount_Rate)^(Calculations!M24-'Assumed Values'!$C$5)</f>
        <v>1123.0911170802096</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20243.101214353963</v>
      </c>
      <c r="O25" s="113">
        <f t="shared" si="7"/>
        <v>1.5043147207389529E-2</v>
      </c>
      <c r="P25" s="114">
        <f t="shared" si="8"/>
        <v>0.77982822197976154</v>
      </c>
      <c r="Q25" s="115">
        <f t="shared" si="4"/>
        <v>1</v>
      </c>
      <c r="R25" s="30">
        <f>IF(M25=Year_Open_to_Traffic?,Calculations!$J$5,Calculations!R24+(Calculations!R24*Calculations!O25*Q25))</f>
        <v>4411385.8875264516</v>
      </c>
      <c r="S25" s="45">
        <f t="shared" si="0"/>
        <v>1</v>
      </c>
      <c r="T25" s="30">
        <f t="shared" si="5"/>
        <v>4411.3858875264514</v>
      </c>
      <c r="U25" s="31">
        <f>T25/(1+Real_Discount_Rate)^(Calculations!M25-'Assumed Values'!$C$5)</f>
        <v>1065.4074225063164</v>
      </c>
    </row>
    <row r="26" spans="1:21" ht="15.75">
      <c r="A26" s="134"/>
      <c r="B26" s="134"/>
      <c r="D26" s="123">
        <f>Calculations!E17</f>
        <v>0.9754621949360277</v>
      </c>
      <c r="E26" s="123">
        <f>Calculations!E18</f>
        <v>1.8074740670873457</v>
      </c>
      <c r="F26" s="123">
        <f>Calculations!E19</f>
        <v>4.4182699417690667</v>
      </c>
      <c r="G26" s="123">
        <f>Calculations!E20</f>
        <v>9.6111716265755671</v>
      </c>
      <c r="H26" s="123">
        <f>Calculations!E21</f>
        <v>71.49564087589944</v>
      </c>
      <c r="I26" s="123">
        <f>Calculations!E22</f>
        <v>2.4099654227831273</v>
      </c>
      <c r="J26" s="135"/>
      <c r="L26" s="106"/>
      <c r="M26" s="107">
        <f t="shared" si="1"/>
        <v>2040</v>
      </c>
      <c r="N26" s="112">
        <f t="shared" si="6"/>
        <v>20547.621165855577</v>
      </c>
      <c r="O26" s="113">
        <f t="shared" si="7"/>
        <v>1.5043147207389529E-2</v>
      </c>
      <c r="P26" s="114">
        <f t="shared" si="8"/>
        <v>0.79155929271947989</v>
      </c>
      <c r="Q26" s="115">
        <f t="shared" si="4"/>
        <v>1</v>
      </c>
      <c r="R26" s="30">
        <f>IF(M26=Year_Open_to_Traffic?,Calculations!$J$5,Calculations!R25+(Calculations!R25*Calculations!O26*Q26))</f>
        <v>4477747.0148211131</v>
      </c>
      <c r="S26" s="45">
        <f t="shared" si="0"/>
        <v>1</v>
      </c>
      <c r="T26" s="30">
        <f t="shared" si="5"/>
        <v>4477.7470148211132</v>
      </c>
      <c r="U26" s="31">
        <f>T26/(1+Real_Discount_Rate)^(Calculations!M26-'Assumed Values'!$C$5)</f>
        <v>1010.6864515877801</v>
      </c>
    </row>
    <row r="27" spans="1:21" ht="15.75">
      <c r="A27" s="38" t="s">
        <v>127</v>
      </c>
      <c r="B27" s="39" t="s">
        <v>128</v>
      </c>
      <c r="D27" s="124">
        <f>D$26*'Value of Statistical Life'!D17*Appropriate_Crash_Reduction_Factor</f>
        <v>0</v>
      </c>
      <c r="E27" s="124">
        <f>E$26*'Value of Statistical Life'!E17*Appropriate_Crash_Reduction_Factor</f>
        <v>1.8636865105737619E-2</v>
      </c>
      <c r="F27" s="124">
        <f>F$26*'Value of Statistical Life'!F17*Appropriate_Crash_Reduction_Factor</f>
        <v>0.1106378976118392</v>
      </c>
      <c r="G27" s="124">
        <f>G$26*'Value of Statistical Life'!G17*Appropriate_Crash_Reduction_Factor</f>
        <v>0.67577108823615462</v>
      </c>
      <c r="H27" s="124">
        <f>H$26*'Value of Statistical Life'!H17*Appropriate_Crash_Reduction_Factor</f>
        <v>19.847332898431436</v>
      </c>
      <c r="I27" s="124">
        <f>I$26*'Value of Statistical Life'!I17*Appropriate_Crash_Reduction_Factor</f>
        <v>0.31577294941642758</v>
      </c>
      <c r="J27" s="124">
        <f t="shared" ref="J27:J33" si="9">SUM(D27:I27)</f>
        <v>20.968151698801595</v>
      </c>
      <c r="K27" s="69"/>
      <c r="L27" s="106"/>
      <c r="M27" s="11">
        <f t="shared" si="1"/>
        <v>2041</v>
      </c>
      <c r="N27" s="112">
        <f t="shared" si="6"/>
        <v>20856.722055815215</v>
      </c>
      <c r="O27" s="113">
        <f t="shared" si="7"/>
        <v>1.5043147207389529E-2</v>
      </c>
      <c r="P27" s="114">
        <f t="shared" si="8"/>
        <v>0.80346683568323618</v>
      </c>
      <c r="Q27" s="115">
        <f t="shared" si="4"/>
        <v>1</v>
      </c>
      <c r="R27" s="30">
        <f>IF(M27=Year_Open_to_Traffic?,Calculations!$J$5,Calculations!R26+(Calculations!R26*Calculations!O27*Q27))</f>
        <v>4545106.4223225163</v>
      </c>
      <c r="S27" s="45">
        <f t="shared" si="0"/>
        <v>1</v>
      </c>
      <c r="T27" s="30">
        <f t="shared" si="5"/>
        <v>4545.1064223225167</v>
      </c>
      <c r="U27" s="31">
        <f>T27/(1+Real_Discount_Rate)^(Calculations!M27-'Assumed Values'!$C$5)</f>
        <v>958.77603426124233</v>
      </c>
    </row>
    <row r="28" spans="1:21" ht="15.75">
      <c r="A28" s="38" t="s">
        <v>129</v>
      </c>
      <c r="B28" s="39" t="s">
        <v>130</v>
      </c>
      <c r="D28" s="124">
        <f>D$26*'Value of Statistical Life'!D18*Appropriate_Crash_Reduction_Factor</f>
        <v>0</v>
      </c>
      <c r="E28" s="124">
        <f>E$26*'Value of Statistical Life'!E18*Appropriate_Crash_Reduction_Factor</f>
        <v>0.30066788863777871</v>
      </c>
      <c r="F28" s="124">
        <f>F$26*'Value of Statistical Life'!F18*Appropriate_Crash_Reduction_Factor</f>
        <v>1.0185393514060812</v>
      </c>
      <c r="G28" s="124">
        <f>G$26*'Value of Statistical Life'!G18*Appropriate_Crash_Reduction_Factor</f>
        <v>1.9879555168976371</v>
      </c>
      <c r="H28" s="124">
        <f>H$26*'Value of Statistical Life'!H18*Appropriate_Crash_Reduction_Factor</f>
        <v>1.5565315975092064</v>
      </c>
      <c r="I28" s="124">
        <f>I$26*'Value of Statistical Life'!I18*Appropriate_Crash_Reduction_Factor</f>
        <v>0.30176864034463485</v>
      </c>
      <c r="J28" s="124">
        <f t="shared" si="9"/>
        <v>5.1654629947953383</v>
      </c>
      <c r="K28" s="69"/>
      <c r="L28" s="106"/>
      <c r="M28" s="107">
        <f t="shared" si="1"/>
        <v>2042</v>
      </c>
      <c r="N28" s="112">
        <f t="shared" si="6"/>
        <v>21170.472795964452</v>
      </c>
      <c r="O28" s="113">
        <f t="shared" si="7"/>
        <v>1.5043147207389529E-2</v>
      </c>
      <c r="P28" s="114">
        <f t="shared" si="8"/>
        <v>0.81555350556867456</v>
      </c>
      <c r="Q28" s="115">
        <f t="shared" si="4"/>
        <v>1</v>
      </c>
      <c r="R28" s="30">
        <f>IF(M28=Year_Open_to_Traffic?,Calculations!$J$5,Calculations!R27+(Calculations!R27*Calculations!O28*Q28))</f>
        <v>4613479.1273067659</v>
      </c>
      <c r="S28" s="45">
        <f t="shared" si="0"/>
        <v>0</v>
      </c>
      <c r="T28" s="30">
        <f t="shared" si="5"/>
        <v>0</v>
      </c>
      <c r="U28" s="31">
        <f>T28/(1+Real_Discount_Rate)^(Calculations!M28-'Assumed Values'!$C$5)</f>
        <v>0</v>
      </c>
    </row>
    <row r="29" spans="1:21" ht="15.75">
      <c r="A29" s="38" t="s">
        <v>131</v>
      </c>
      <c r="B29" s="39" t="s">
        <v>132</v>
      </c>
      <c r="D29" s="124">
        <f>D$26*'Value of Statistical Life'!D19*Appropriate_Crash_Reduction_Factor</f>
        <v>0</v>
      </c>
      <c r="E29" s="124">
        <f>E$26*'Value of Statistical Life'!E19*Appropriate_Crash_Reduction_Factor</f>
        <v>0.11337200338398665</v>
      </c>
      <c r="F29" s="124">
        <f>F$26*'Value of Statistical Life'!F19*Appropriate_Crash_Reduction_Factor</f>
        <v>0.14445091747619784</v>
      </c>
      <c r="G29" s="124">
        <f>G$26*'Value of Statistical Life'!G19*Appropriate_Crash_Reduction_Factor</f>
        <v>0.18427499359633331</v>
      </c>
      <c r="H29" s="124">
        <f>H$26*'Value of Statistical Life'!H19*Appropriate_Crash_Reduction_Factor</f>
        <v>4.2468410680284265E-2</v>
      </c>
      <c r="I29" s="124">
        <f>I$26*'Value of Statistical Life'!I19*Appropriate_Crash_Reduction_Factor</f>
        <v>6.4143639692795712E-2</v>
      </c>
      <c r="J29" s="124">
        <f t="shared" si="9"/>
        <v>0.54870996482959777</v>
      </c>
      <c r="K29" s="69"/>
      <c r="L29" s="106"/>
      <c r="M29" s="11">
        <f t="shared" si="1"/>
        <v>2043</v>
      </c>
      <c r="N29" s="112">
        <f t="shared" si="6"/>
        <v>21488.94333468418</v>
      </c>
      <c r="O29" s="113">
        <f t="shared" si="7"/>
        <v>1.5043147207389529E-2</v>
      </c>
      <c r="P29" s="114">
        <f t="shared" si="8"/>
        <v>0.82782199700844672</v>
      </c>
      <c r="Q29" s="115">
        <f t="shared" si="4"/>
        <v>1</v>
      </c>
      <c r="R29" s="30">
        <f>IF(M29=Year_Open_to_Traffic?,Calculations!$J$5,Calculations!R28+(Calculations!R28*Calculations!O29*Q29))</f>
        <v>4682880.3729570601</v>
      </c>
      <c r="S29" s="45">
        <f t="shared" si="0"/>
        <v>0</v>
      </c>
      <c r="T29" s="30">
        <f t="shared" si="5"/>
        <v>0</v>
      </c>
      <c r="U29" s="31">
        <f>T29/(1+Real_Discount_Rate)^(Calculations!M29-'Assumed Values'!$C$5)</f>
        <v>0</v>
      </c>
    </row>
    <row r="30" spans="1:21" ht="15.75">
      <c r="A30" s="38" t="s">
        <v>133</v>
      </c>
      <c r="B30" s="39" t="s">
        <v>134</v>
      </c>
      <c r="D30" s="124">
        <f>D$26*'Value of Statistical Life'!D20*Appropriate_Crash_Reduction_Factor</f>
        <v>0</v>
      </c>
      <c r="E30" s="124">
        <f>E$26*'Value of Statistical Life'!E20*Appropriate_Crash_Reduction_Factor</f>
        <v>7.828350931962004E-2</v>
      </c>
      <c r="F30" s="124">
        <f>F$26*'Value of Statistical Life'!F20*Appropriate_Crash_Reduction_Factor</f>
        <v>4.2296098152555278E-2</v>
      </c>
      <c r="G30" s="124">
        <f>G$26*'Value of Statistical Life'!G20*Appropriate_Crash_Reduction_Factor</f>
        <v>3.0880694436187298E-2</v>
      </c>
      <c r="H30" s="124">
        <f>H$26*'Value of Statistical Life'!H20*Appropriate_Crash_Reduction_Factor</f>
        <v>1.7158953810215865E-3</v>
      </c>
      <c r="I30" s="124">
        <f>I$26*'Value of Statistical Life'!I20*Appropriate_Crash_Reduction_Factor</f>
        <v>3.4826410324638971E-2</v>
      </c>
      <c r="J30" s="124">
        <f t="shared" si="9"/>
        <v>0.18800260761402321</v>
      </c>
      <c r="K30" s="69"/>
      <c r="L30" s="106"/>
      <c r="M30" s="11">
        <f t="shared" si="1"/>
        <v>2044</v>
      </c>
      <c r="N30" s="112">
        <f t="shared" si="6"/>
        <v>21812.204672599088</v>
      </c>
      <c r="O30" s="113">
        <f t="shared" si="7"/>
        <v>1.5043147207389529E-2</v>
      </c>
      <c r="P30" s="114">
        <f t="shared" si="8"/>
        <v>0.84027504517095997</v>
      </c>
      <c r="Q30" s="115">
        <f t="shared" si="4"/>
        <v>1</v>
      </c>
      <c r="R30" s="30">
        <f>IF(M30=Year_Open_to_Traffic?,Calculations!$J$5,Calculations!R29+(Calculations!R29*Calculations!O30*Q30))</f>
        <v>4753325.6317620482</v>
      </c>
      <c r="S30" s="45">
        <f t="shared" si="0"/>
        <v>0</v>
      </c>
      <c r="T30" s="30">
        <f t="shared" si="5"/>
        <v>0</v>
      </c>
      <c r="U30" s="31">
        <f>T30/(1+Real_Discount_Rate)^(Calculations!M30-'Assumed Values'!$C$5)</f>
        <v>0</v>
      </c>
    </row>
    <row r="31" spans="1:21" ht="15.75">
      <c r="A31" s="38" t="s">
        <v>135</v>
      </c>
      <c r="B31" s="39" t="s">
        <v>136</v>
      </c>
      <c r="D31" s="124">
        <f>D$26*'Value of Statistical Life'!D21*Appropriate_Crash_Reduction_Factor</f>
        <v>0</v>
      </c>
      <c r="E31" s="124">
        <f>E$26*'Value of Statistical Life'!E21*Appropriate_Crash_Reduction_Factor</f>
        <v>2.1613774894230477E-2</v>
      </c>
      <c r="F31" s="124">
        <f>F$26*'Value of Statistical Life'!F21*Appropriate_Crash_Reduction_Factor</f>
        <v>8.2179820916904647E-3</v>
      </c>
      <c r="G31" s="124">
        <f>G$26*'Value of Statistical Life'!G21*Appropriate_Crash_Reduction_Factor</f>
        <v>4.0943591129211912E-3</v>
      </c>
      <c r="H31" s="124">
        <f>H$26*'Value of Statistical Life'!H21*Appropriate_Crash_Reduction_Factor</f>
        <v>0</v>
      </c>
      <c r="I31" s="124">
        <f>I$26*'Value of Statistical Life'!I21*Appropriate_Crash_Reduction_Factor</f>
        <v>4.4608459975715685E-3</v>
      </c>
      <c r="J31" s="124">
        <f t="shared" si="9"/>
        <v>3.8386962096413707E-2</v>
      </c>
      <c r="K31" s="69"/>
      <c r="L31" s="106"/>
      <c r="M31" s="11">
        <f t="shared" si="1"/>
        <v>2045</v>
      </c>
      <c r="N31" s="112">
        <f t="shared" si="6"/>
        <v>22140.328878406704</v>
      </c>
      <c r="O31" s="113">
        <f t="shared" si="7"/>
        <v>1.5043147207389529E-2</v>
      </c>
      <c r="P31" s="114">
        <f t="shared" si="8"/>
        <v>0.8529154263701626</v>
      </c>
      <c r="Q31" s="115">
        <f t="shared" si="4"/>
        <v>1</v>
      </c>
      <c r="R31" s="30">
        <f>IF(M31=Year_Open_to_Traffic?,Calculations!$J$5,Calculations!R30+(Calculations!R30*Calculations!O31*Q31))</f>
        <v>4824830.6089653028</v>
      </c>
      <c r="S31" s="45">
        <f t="shared" si="0"/>
        <v>0</v>
      </c>
      <c r="T31" s="30">
        <f t="shared" si="5"/>
        <v>0</v>
      </c>
      <c r="U31" s="31">
        <f>T31/(1+Real_Discount_Rate)^(Calculations!M31-'Assumed Values'!$C$5)</f>
        <v>0</v>
      </c>
    </row>
    <row r="32" spans="1:21" ht="15.75">
      <c r="A32" s="38" t="s">
        <v>137</v>
      </c>
      <c r="B32" s="39" t="s">
        <v>138</v>
      </c>
      <c r="D32" s="124">
        <f>D$26*'Value of Statistical Life'!D22*Appropriate_Crash_Reduction_Factor</f>
        <v>0</v>
      </c>
      <c r="E32" s="124">
        <f>E$26*'Value of Statistical Life'!E22*Appropriate_Crash_Reduction_Factor</f>
        <v>9.6681787848502121E-3</v>
      </c>
      <c r="F32" s="124">
        <f>F$26*'Value of Statistical Life'!F22*Appropriate_Crash_Reduction_Factor</f>
        <v>1.3387357923560273E-3</v>
      </c>
      <c r="G32" s="124">
        <f>G$26*'Value of Statistical Life'!G22*Appropriate_Crash_Reduction_Factor</f>
        <v>3.7483569343644706E-4</v>
      </c>
      <c r="H32" s="124">
        <f>H$26*'Value of Statistical Life'!H22*Appropriate_Crash_Reduction_Factor</f>
        <v>6.43460767883095E-4</v>
      </c>
      <c r="I32" s="124">
        <f>I$26*'Value of Statistical Life'!I22*Appropriate_Crash_Reduction_Factor</f>
        <v>2.0171410588694775E-3</v>
      </c>
      <c r="J32" s="124">
        <f t="shared" si="9"/>
        <v>1.4042352097395258E-2</v>
      </c>
      <c r="K32" s="69"/>
      <c r="L32" s="106"/>
      <c r="M32" s="11">
        <f t="shared" si="1"/>
        <v>2046</v>
      </c>
      <c r="N32" s="112">
        <f t="shared" si="6"/>
        <v>22473.389104944596</v>
      </c>
      <c r="O32" s="113">
        <f t="shared" si="7"/>
        <v>1.5043147207389529E-2</v>
      </c>
      <c r="P32" s="114">
        <f t="shared" si="8"/>
        <v>0.86574595868450233</v>
      </c>
      <c r="Q32" s="115">
        <f t="shared" si="4"/>
        <v>1</v>
      </c>
      <c r="R32" s="30">
        <f>IF(M32=Year_Open_to_Traffic?,Calculations!$J$5,Calculations!R31+(Calculations!R31*Calculations!O32*Q32))</f>
        <v>4897411.2460666867</v>
      </c>
      <c r="S32" s="45">
        <f t="shared" si="0"/>
        <v>0</v>
      </c>
      <c r="T32" s="30">
        <f t="shared" si="5"/>
        <v>0</v>
      </c>
      <c r="U32" s="31">
        <f>T32/(1+Real_Discount_Rate)^(Calculations!M32-'Assumed Values'!$C$5)</f>
        <v>0</v>
      </c>
    </row>
    <row r="33" spans="1:21" ht="15.75">
      <c r="A33" s="38" t="s">
        <v>139</v>
      </c>
      <c r="B33" s="39" t="s">
        <v>140</v>
      </c>
      <c r="D33" s="124">
        <f>D$26*'Value of Statistical Life'!D23*Appropriate_Crash_Reduction_Factor</f>
        <v>0.29263865848080828</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0.29263865848080828</v>
      </c>
      <c r="K33" s="69"/>
      <c r="L33" s="106"/>
      <c r="M33" s="11">
        <f t="shared" si="1"/>
        <v>2047</v>
      </c>
      <c r="N33" s="112">
        <f t="shared" si="6"/>
        <v>22811.459605499222</v>
      </c>
      <c r="O33" s="113">
        <f t="shared" si="7"/>
        <v>1.5043147207389529E-2</v>
      </c>
      <c r="P33" s="114">
        <f t="shared" si="8"/>
        <v>0.87876950258519582</v>
      </c>
      <c r="Q33" s="115">
        <f t="shared" si="4"/>
        <v>1</v>
      </c>
      <c r="R33" s="30">
        <f>IF(M33=Year_Open_to_Traffic?,Calculations!$J$5,Calculations!R32+(Calculations!R32*Calculations!O33*Q33))</f>
        <v>4971083.7243763926</v>
      </c>
      <c r="S33" s="45">
        <f t="shared" si="0"/>
        <v>0</v>
      </c>
      <c r="T33" s="30">
        <f t="shared" si="5"/>
        <v>0</v>
      </c>
      <c r="U33" s="31">
        <f>T33/(1+Real_Discount_Rate)^(Calculations!M33-'Assumed Values'!$C$5)</f>
        <v>0</v>
      </c>
    </row>
    <row r="34" spans="1:21" ht="15.75">
      <c r="J34" s="125"/>
      <c r="L34" s="106"/>
      <c r="M34" s="11">
        <f t="shared" si="1"/>
        <v>2048</v>
      </c>
      <c r="N34" s="112">
        <f t="shared" si="6"/>
        <v>23154.615750360168</v>
      </c>
      <c r="O34" s="113">
        <f t="shared" si="7"/>
        <v>1.5043147207389529E-2</v>
      </c>
      <c r="P34" s="114">
        <f t="shared" si="8"/>
        <v>0.89198896157394936</v>
      </c>
      <c r="Q34" s="115">
        <f t="shared" si="4"/>
        <v>1</v>
      </c>
      <c r="R34" s="30">
        <f>IF(M34=Year_Open_to_Traffic?,Calculations!$J$5,Calculations!R33+(Calculations!R33*Calculations!O34*Q34))</f>
        <v>5045864.4686224451</v>
      </c>
      <c r="S34" s="45">
        <f t="shared" si="0"/>
        <v>0</v>
      </c>
      <c r="T34" s="30">
        <f t="shared" si="5"/>
        <v>0</v>
      </c>
      <c r="U34" s="31">
        <f>T34/(1+Real_Discount_Rate)^(Calculations!M34-'Assumed Values'!$C$5)</f>
        <v>0</v>
      </c>
    </row>
    <row r="35" spans="1:21" ht="15.75">
      <c r="G35" s="41"/>
      <c r="H35" s="41"/>
      <c r="L35" s="106"/>
      <c r="M35" s="11">
        <f t="shared" si="1"/>
        <v>2049</v>
      </c>
      <c r="N35" s="112">
        <f t="shared" si="6"/>
        <v>23502.934043623376</v>
      </c>
      <c r="O35" s="113">
        <f t="shared" si="7"/>
        <v>1.5043147207389529E-2</v>
      </c>
      <c r="P35" s="114">
        <f t="shared" si="8"/>
        <v>0.90540728283027283</v>
      </c>
      <c r="Q35" s="115">
        <f t="shared" si="4"/>
        <v>1</v>
      </c>
      <c r="R35" s="30">
        <f>IF(M35=Year_Open_to_Traffic?,Calculations!$J$5,Calculations!R34+(Calculations!R34*Calculations!O35*Q35))</f>
        <v>5121770.1506124688</v>
      </c>
      <c r="S35" s="45">
        <f t="shared" si="0"/>
        <v>0</v>
      </c>
      <c r="T35" s="30">
        <f t="shared" si="5"/>
        <v>0</v>
      </c>
      <c r="U35" s="31">
        <f>T35/(1+Real_Discount_Rate)^(Calculations!M35-'Assumed Values'!$C$5)</f>
        <v>0</v>
      </c>
    </row>
    <row r="36" spans="1:21" ht="15.75">
      <c r="G36" s="41"/>
      <c r="H36" s="41"/>
      <c r="L36" s="106"/>
      <c r="M36" s="11">
        <f t="shared" si="1"/>
        <v>2050</v>
      </c>
      <c r="N36" s="112">
        <f t="shared" si="6"/>
        <v>23856.49214024717</v>
      </c>
      <c r="O36" s="113">
        <f t="shared" si="7"/>
        <v>1.5043147207389529E-2</v>
      </c>
      <c r="P36" s="114">
        <f t="shared" si="8"/>
        <v>0.91902745786853124</v>
      </c>
      <c r="Q36" s="115">
        <f t="shared" si="4"/>
        <v>1</v>
      </c>
      <c r="R36" s="30">
        <f>IF(M36=Year_Open_to_Traffic?,Calculations!$J$5,Calculations!R35+(Calculations!R35*Calculations!O36*Q36))</f>
        <v>5198817.6929505458</v>
      </c>
      <c r="S36" s="45">
        <f t="shared" si="0"/>
        <v>0</v>
      </c>
      <c r="T36" s="30">
        <f t="shared" si="5"/>
        <v>0</v>
      </c>
      <c r="U36" s="31">
        <f>T36/(1+Real_Discount_Rate)^(Calculations!M36-'Assumed Values'!$C$5)</f>
        <v>0</v>
      </c>
    </row>
    <row r="37" spans="1:21">
      <c r="M37" s="39"/>
      <c r="N37" s="39"/>
      <c r="O37" s="118"/>
      <c r="P37" s="120"/>
      <c r="Q37" s="39"/>
      <c r="R37" s="39"/>
      <c r="S37" s="39"/>
      <c r="T37" s="39"/>
      <c r="U37" s="31">
        <f>SUM(U4:U36)</f>
        <v>33480.188375652644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53</v>
      </c>
      <c r="G4" s="39" t="s">
        <v>166</v>
      </c>
      <c r="H4" s="127" t="s">
        <v>167</v>
      </c>
      <c r="Q4" s="86"/>
      <c r="R4" s="85"/>
      <c r="S4" s="85"/>
      <c r="T4" s="85"/>
      <c r="U4" s="85"/>
      <c r="V4" s="85"/>
      <c r="W4" s="85"/>
      <c r="X4" s="85"/>
    </row>
    <row r="5" spans="3:24">
      <c r="C5" t="s">
        <v>168</v>
      </c>
      <c r="G5" s="39" t="s">
        <v>169</v>
      </c>
      <c r="H5" s="127" t="s">
        <v>170</v>
      </c>
      <c r="Q5" s="86"/>
      <c r="R5" s="85"/>
      <c r="S5" s="85"/>
      <c r="T5" s="85"/>
      <c r="U5" s="85"/>
      <c r="V5" s="85"/>
      <c r="W5" s="85"/>
      <c r="X5" s="85"/>
    </row>
    <row r="6" spans="3:24">
      <c r="C6" t="s">
        <v>171</v>
      </c>
      <c r="G6" s="39" t="s">
        <v>172</v>
      </c>
      <c r="H6" s="127" t="s">
        <v>173</v>
      </c>
      <c r="Q6" s="86"/>
      <c r="R6" s="85"/>
      <c r="S6" s="85"/>
      <c r="T6" s="85"/>
      <c r="U6" s="85"/>
      <c r="V6" s="85"/>
      <c r="W6" s="85"/>
      <c r="X6" s="85"/>
    </row>
    <row r="7" spans="3:24">
      <c r="C7" t="s">
        <v>174</v>
      </c>
      <c r="G7" s="39" t="s">
        <v>175</v>
      </c>
      <c r="H7" s="127" t="s">
        <v>176</v>
      </c>
      <c r="Q7" s="86"/>
      <c r="R7" s="85"/>
      <c r="S7" s="85"/>
      <c r="T7" s="85"/>
      <c r="U7" s="85"/>
      <c r="V7" s="85"/>
      <c r="W7" s="85"/>
      <c r="X7" s="85"/>
    </row>
    <row r="8" spans="3:24">
      <c r="C8" t="s">
        <v>50</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163</v>
      </c>
      <c r="G13" s="54" t="s">
        <v>166</v>
      </c>
      <c r="H13" s="54" t="s">
        <v>169</v>
      </c>
      <c r="I13" s="54" t="s">
        <v>172</v>
      </c>
      <c r="J13" s="54" t="s">
        <v>175</v>
      </c>
      <c r="M13" s="39" t="s">
        <v>182</v>
      </c>
      <c r="N13" s="39" t="s">
        <v>183</v>
      </c>
      <c r="O13" s="39" t="s">
        <v>184</v>
      </c>
      <c r="Q13" s="62" t="s">
        <v>49</v>
      </c>
      <c r="R13" s="62" t="s">
        <v>185</v>
      </c>
      <c r="S13" s="62" t="s">
        <v>159</v>
      </c>
      <c r="T13" s="62" t="s">
        <v>163</v>
      </c>
      <c r="U13" s="62" t="s">
        <v>166</v>
      </c>
      <c r="V13" s="62" t="s">
        <v>169</v>
      </c>
      <c r="W13" s="62" t="s">
        <v>172</v>
      </c>
      <c r="X13" s="62" t="s">
        <v>175</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168</v>
      </c>
      <c r="D16" s="60"/>
      <c r="E16" s="60">
        <v>1.1315255007738096</v>
      </c>
      <c r="F16" s="60">
        <v>3.9089062754004331</v>
      </c>
      <c r="G16" s="60">
        <v>19.95599519546537</v>
      </c>
      <c r="H16" s="60">
        <v>32.197043794745674</v>
      </c>
      <c r="I16" s="60">
        <v>398.29697627238102</v>
      </c>
      <c r="J16" s="60">
        <v>12.549646463127708</v>
      </c>
      <c r="M16" s="39" t="s">
        <v>168</v>
      </c>
      <c r="N16" s="84">
        <v>3738995.92</v>
      </c>
      <c r="O16" s="84">
        <f t="shared" si="0"/>
        <v>972138939.19999993</v>
      </c>
      <c r="Q16" s="63" t="s">
        <v>168</v>
      </c>
      <c r="R16" s="64"/>
      <c r="S16" s="39">
        <v>11</v>
      </c>
      <c r="T16" s="39">
        <v>38</v>
      </c>
      <c r="U16" s="39">
        <v>194</v>
      </c>
      <c r="V16" s="39">
        <v>313</v>
      </c>
      <c r="W16" s="39">
        <v>3872</v>
      </c>
      <c r="X16" s="39">
        <v>122</v>
      </c>
    </row>
    <row r="17" spans="3:24">
      <c r="C17" s="55" t="s">
        <v>171</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171</v>
      </c>
      <c r="R17" s="64"/>
      <c r="S17" s="39">
        <v>6</v>
      </c>
      <c r="T17" s="39">
        <v>44</v>
      </c>
      <c r="U17" s="39">
        <v>189</v>
      </c>
      <c r="V17" s="39">
        <v>328</v>
      </c>
      <c r="W17" s="39">
        <v>3467</v>
      </c>
      <c r="X17" s="39">
        <v>117</v>
      </c>
    </row>
    <row r="18" spans="3:24">
      <c r="C18" s="55" t="s">
        <v>174</v>
      </c>
      <c r="D18" s="60"/>
      <c r="E18" s="60">
        <v>0.90708688014883054</v>
      </c>
      <c r="F18" s="60">
        <v>3.6345604444319584</v>
      </c>
      <c r="G18" s="60">
        <v>19.334618979610692</v>
      </c>
      <c r="H18" s="60">
        <v>53.611319786330533</v>
      </c>
      <c r="I18" s="60">
        <v>404.81547842368047</v>
      </c>
      <c r="J18" s="60">
        <v>37.824280317438905</v>
      </c>
      <c r="M18" s="39" t="s">
        <v>174</v>
      </c>
      <c r="N18" s="84">
        <v>61905697.659999996</v>
      </c>
      <c r="O18" s="84">
        <f t="shared" si="0"/>
        <v>16095481391.599998</v>
      </c>
      <c r="Q18" s="63" t="s">
        <v>174</v>
      </c>
      <c r="R18" s="64"/>
      <c r="S18" s="39">
        <v>146</v>
      </c>
      <c r="T18" s="39">
        <v>585</v>
      </c>
      <c r="U18" s="39">
        <v>3112</v>
      </c>
      <c r="V18" s="39">
        <v>8629</v>
      </c>
      <c r="W18" s="39">
        <v>65157</v>
      </c>
      <c r="X18" s="39">
        <v>6088</v>
      </c>
    </row>
    <row r="19" spans="3:24">
      <c r="C19" s="55" t="s">
        <v>50</v>
      </c>
      <c r="D19" s="60"/>
      <c r="E19" s="60">
        <v>3.3935222811020584</v>
      </c>
      <c r="F19" s="60">
        <v>4.2419028513775725</v>
      </c>
      <c r="G19" s="60">
        <v>9.3321862730306595</v>
      </c>
      <c r="H19" s="60">
        <v>22.057894827163377</v>
      </c>
      <c r="I19" s="60">
        <v>135.74089124408232</v>
      </c>
      <c r="J19" s="60">
        <v>3.3935222811020584</v>
      </c>
      <c r="M19" s="39" t="s">
        <v>50</v>
      </c>
      <c r="N19" s="84">
        <v>453352.42</v>
      </c>
      <c r="O19" s="84">
        <f t="shared" si="0"/>
        <v>117871629.2</v>
      </c>
      <c r="Q19" s="63" t="s">
        <v>50</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163</v>
      </c>
      <c r="G27" s="54" t="s">
        <v>166</v>
      </c>
      <c r="H27" s="54" t="s">
        <v>169</v>
      </c>
      <c r="I27" s="54" t="s">
        <v>172</v>
      </c>
      <c r="J27" s="54" t="s">
        <v>175</v>
      </c>
      <c r="M27" s="39" t="s">
        <v>190</v>
      </c>
      <c r="N27" s="39" t="s">
        <v>183</v>
      </c>
      <c r="O27" s="39" t="s">
        <v>184</v>
      </c>
      <c r="Q27" s="62" t="s">
        <v>49</v>
      </c>
      <c r="R27" s="62" t="s">
        <v>185</v>
      </c>
      <c r="S27" s="62" t="s">
        <v>159</v>
      </c>
      <c r="T27" s="62" t="s">
        <v>163</v>
      </c>
      <c r="U27" s="62" t="s">
        <v>166</v>
      </c>
      <c r="V27" s="62" t="s">
        <v>169</v>
      </c>
      <c r="W27" s="62" t="s">
        <v>172</v>
      </c>
      <c r="X27" s="62" t="s">
        <v>175</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168</v>
      </c>
      <c r="D30" s="60"/>
      <c r="E30" s="60">
        <v>0.99344502357157671</v>
      </c>
      <c r="F30" s="60">
        <v>5.5495894420205314</v>
      </c>
      <c r="G30" s="60">
        <v>33.605847176679887</v>
      </c>
      <c r="H30" s="60">
        <v>63.237914259073463</v>
      </c>
      <c r="I30" s="60">
        <v>637.62042150819855</v>
      </c>
      <c r="J30" s="60">
        <v>27.199839610890752</v>
      </c>
      <c r="M30" s="39" t="s">
        <v>168</v>
      </c>
      <c r="N30" s="84">
        <v>11227441.77</v>
      </c>
      <c r="O30" s="84">
        <f t="shared" si="2"/>
        <v>2919134860.1999998</v>
      </c>
      <c r="Q30" s="63" t="s">
        <v>168</v>
      </c>
      <c r="R30" s="64"/>
      <c r="S30" s="39">
        <v>29</v>
      </c>
      <c r="T30" s="39">
        <v>162</v>
      </c>
      <c r="U30" s="39">
        <v>981</v>
      </c>
      <c r="V30" s="84">
        <v>1846</v>
      </c>
      <c r="W30" s="84">
        <v>18613</v>
      </c>
      <c r="X30" s="39">
        <v>794</v>
      </c>
    </row>
    <row r="31" spans="3:24">
      <c r="C31" s="56" t="s">
        <v>171</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171</v>
      </c>
      <c r="R31" s="64"/>
      <c r="S31" s="39">
        <v>34</v>
      </c>
      <c r="T31" s="39">
        <v>165</v>
      </c>
      <c r="U31" s="39">
        <v>603</v>
      </c>
      <c r="V31" s="84">
        <v>1209</v>
      </c>
      <c r="W31" s="84">
        <v>13123</v>
      </c>
      <c r="X31" s="39">
        <v>563</v>
      </c>
    </row>
    <row r="32" spans="3:24">
      <c r="C32" s="56" t="s">
        <v>174</v>
      </c>
      <c r="D32" s="60"/>
      <c r="E32" s="60">
        <v>1.7455741549787349</v>
      </c>
      <c r="F32" s="60">
        <v>8.8235958091989612</v>
      </c>
      <c r="G32" s="60">
        <v>49.782648723119337</v>
      </c>
      <c r="H32" s="60">
        <v>124.27924895011503</v>
      </c>
      <c r="I32" s="60">
        <v>963.65828946693784</v>
      </c>
      <c r="J32" s="60">
        <v>83.618632907852302</v>
      </c>
      <c r="M32" s="39" t="s">
        <v>174</v>
      </c>
      <c r="N32" s="84">
        <v>68304614.209999993</v>
      </c>
      <c r="O32" s="84">
        <f t="shared" si="2"/>
        <v>17759199694.599998</v>
      </c>
      <c r="Q32" s="63" t="s">
        <v>174</v>
      </c>
      <c r="R32" s="64"/>
      <c r="S32" s="39">
        <v>310</v>
      </c>
      <c r="T32" s="84">
        <v>1567</v>
      </c>
      <c r="U32" s="84">
        <v>8841</v>
      </c>
      <c r="V32" s="84">
        <v>22071</v>
      </c>
      <c r="W32" s="84">
        <v>171138</v>
      </c>
      <c r="X32" s="84">
        <v>14850</v>
      </c>
    </row>
    <row r="33" spans="3:24">
      <c r="C33" s="56" t="s">
        <v>50</v>
      </c>
      <c r="D33" s="60"/>
      <c r="E33" s="60">
        <v>5.3130646924395055</v>
      </c>
      <c r="F33" s="60">
        <v>9.8447963418732023</v>
      </c>
      <c r="G33" s="60">
        <v>24.065057724578939</v>
      </c>
      <c r="H33" s="60">
        <v>52.349313881389243</v>
      </c>
      <c r="I33" s="60">
        <v>389.41638863409548</v>
      </c>
      <c r="J33" s="60">
        <v>13.126395122497602</v>
      </c>
      <c r="M33" s="39" t="s">
        <v>50</v>
      </c>
      <c r="N33" s="84">
        <v>2461276.84</v>
      </c>
      <c r="O33" s="84">
        <f t="shared" si="2"/>
        <v>639931978.39999998</v>
      </c>
      <c r="Q33" s="63" t="s">
        <v>50</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70</v>
      </c>
      <c r="D51" s="92">
        <v>502</v>
      </c>
      <c r="E51" s="93">
        <v>0.3</v>
      </c>
      <c r="F51" s="94">
        <v>20</v>
      </c>
    </row>
    <row r="52" spans="3:6">
      <c r="C52" s="71" t="s">
        <v>253</v>
      </c>
      <c r="D52" s="92">
        <v>503</v>
      </c>
      <c r="E52" s="93">
        <v>0.25</v>
      </c>
      <c r="F52" s="94">
        <v>20</v>
      </c>
    </row>
    <row r="53" spans="3:6">
      <c r="C53" s="71" t="s">
        <v>254</v>
      </c>
      <c r="D53" s="92">
        <v>504</v>
      </c>
      <c r="E53" s="93">
        <v>0.25</v>
      </c>
      <c r="F53" s="94">
        <v>20</v>
      </c>
    </row>
    <row r="54" spans="3:6">
      <c r="C54" s="72" t="s">
        <v>255</v>
      </c>
      <c r="D54" s="92">
        <v>505</v>
      </c>
      <c r="E54" s="93">
        <v>0.5</v>
      </c>
      <c r="F54" s="94">
        <v>10</v>
      </c>
    </row>
    <row r="55" spans="3:6">
      <c r="C55" s="71" t="s">
        <v>256</v>
      </c>
      <c r="D55" s="92">
        <v>506</v>
      </c>
      <c r="E55" s="95">
        <v>0.5</v>
      </c>
      <c r="F55" s="94">
        <v>10</v>
      </c>
    </row>
    <row r="56" spans="3:6">
      <c r="C56" s="72" t="s">
        <v>257</v>
      </c>
      <c r="D56" s="92">
        <v>507</v>
      </c>
      <c r="E56" s="95">
        <v>0.65</v>
      </c>
      <c r="F56" s="94">
        <v>10</v>
      </c>
    </row>
    <row r="57" spans="3:6">
      <c r="C57" s="72" t="s">
        <v>258</v>
      </c>
      <c r="D57" s="92">
        <v>510</v>
      </c>
      <c r="E57" s="95">
        <v>0.4</v>
      </c>
      <c r="F57" s="94">
        <v>10</v>
      </c>
    </row>
    <row r="58" spans="3:6">
      <c r="C58" s="71" t="s">
        <v>259</v>
      </c>
      <c r="D58" s="92">
        <v>511</v>
      </c>
      <c r="E58" s="95">
        <v>0.1</v>
      </c>
      <c r="F58" s="94">
        <v>10</v>
      </c>
    </row>
    <row r="59" spans="3:6">
      <c r="C59" s="71" t="s">
        <v>260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4C24D2-9D51-4EB7-89A9-A9B5A4DA9137}"/>
</file>

<file path=customXml/itemProps2.xml><?xml version="1.0" encoding="utf-8"?>
<ds:datastoreItem xmlns:ds="http://schemas.openxmlformats.org/officeDocument/2006/customXml" ds:itemID="{9AD60EC4-14B7-44F2-8C83-7EF0BE5A4177}"/>
</file>

<file path=customXml/itemProps3.xml><?xml version="1.0" encoding="utf-8"?>
<ds:datastoreItem xmlns:ds="http://schemas.openxmlformats.org/officeDocument/2006/customXml" ds:itemID="{AC07325F-FAF8-4F79-B152-7AC6584A1CEA}"/>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