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UPT - Post Oak &amp; San Felipe\"/>
    </mc:Choice>
  </mc:AlternateContent>
  <xr:revisionPtr revIDLastSave="0" documentId="13_ncr:1_{73092F72-74F8-4D3C-8432-D147574A0FEC}" xr6:coauthVersionLast="37" xr6:coauthVersionMax="37" xr10:uidLastSave="{00000000-0000-0000-0000-000000000000}"/>
  <bookViews>
    <workbookView xWindow="0" yWindow="0" windowWidth="21600" windowHeight="9750"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s="1"/>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s="1"/>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s="1"/>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s="1"/>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<sst xmlns="http://schemas.openxmlformats.org/spreadsheetml/2006/main" count="291" uniqueCount="237">
  <si>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</si>
  <si>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</si>
  <si>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</si>
  <si>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</si>
  <si>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</si>
  <si>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</si>
  <si>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</si>
  <si>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</si>
  <si>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</si>
  <si>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</si>
  <si>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</si>
  <si>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</si>
  <si>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</si>
  <si>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</si>
  <si>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</si>
  <si>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</si>
  <si>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</si>
  <si>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</si>
  <si>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</si>
  <si>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</si>
  <si>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</si>
  <si>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</si>
  <si>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</si>
  <si>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</si>
  <si>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</si>
  <si>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</si>
  <si>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</si>
  <si>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</si>
  <si>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</si>
  <si>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</si>
  <si>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</si>
  <si>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</si>
  <si>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</si>
  <si>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</si>
  <si>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</si>
  <si>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</si>
  <si>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</si>
  <si>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</si>
  <si>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</si>
  <si>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</si>
  <si>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</si>
  <si>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</si>
  <si>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</si>
  <si>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</si>
  <si>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</si>
  <si>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</si>
  <si>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</si>
  <si>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</si>
  <si>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</si>
  <si>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</si>
  <si>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</si>
  <si>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</si>
  <si>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</si>
  <si>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</si>
  <si>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</si>
  <si>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</si>
  <si>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</si>
  <si>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</si>
  <si>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</si>
  <si>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</si>
  <si>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</si>
  <si>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</si>
  <si>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</si>
  <si>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</si>
  <si>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</si>
  <si>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</si>
  <si>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</si>
  <si>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</si>
  <si>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</si>
  <si>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</si>
  <si>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</si>
  <si>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</si>
  <si>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</si>
  <si>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</si>
  <si>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</si>
  <si>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</si>
  <si>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</si>
  <si>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</si>
  <si>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</si>
  <si>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</si>
  <si>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</si>
  <si>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</si>
  <si>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</si>
  <si>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</si>
  <si>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</si>
  <si>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</si>
  <si>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</si>
  <si>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</si>
  <si>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</si>
  <si>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</si>
  <si>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</si>
  <si>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</si>
  <si>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</si>
  <si>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</si>
  <si>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</si>
  <si>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</si>
  <si>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</si>
  <si>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</si>
  <si>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</si>
  <si>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</si>
  <si>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</si>
  <si>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</si>
  <si>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</si>
  <si>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</si>
  <si>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</si>
  <si>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</si>
  <si>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</si>
  <si>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</si>
  <si>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</si>
  <si>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</si>
  <si>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</si>
  <si>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</si>
  <si>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</si>
  <si>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</si>
  <si>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</si>
  <si>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</si>
  <si>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</si>
  <si>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</si>
  <si>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</si>
  <si>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</si>
  <si>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</si>
  <si>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</si>
  <si>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</si>
  <si>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</si>
  <si>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</si>
  <si>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</si>
  <si>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</si>
  <si>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</si>
  <si>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</si>
  <si>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</si>
  <si>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</si>
  <si>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</si>
  <si>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</si>
  <si>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</si>
  <si>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</si>
  <si>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</si>
  <si>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</si>
  <si>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</si>
  <si>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</si>
  <si>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</si>
  <si>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</si>
  <si>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</si>
  <si>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</si>
  <si>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</si>
  <si>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</si>
  <si>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</si>
  <si>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</si>
  <si>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</si>
  <si>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</si>
  <si>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</si>
  <si>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</si>
  <si>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</si>
  <si>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</si>
  <si>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</si>
  <si>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</si>
  <si>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</si>
  <si>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</si>
  <si>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</si>
  <si>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</si>
  <si>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</si>
  <si>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</si>
  <si>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</si>
  <si>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</si>
  <si>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</si>
  <si>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</si>
  <si>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</si>
  <si>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</si>
  <si>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</si>
  <si>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</si>
  <si>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</si>
  <si>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</si>
  <si>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</si>
  <si>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</si>
  <si>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</si>
  <si>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</si>
  <si>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</si>
  <si>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</si>
  <si>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</si>
  <si>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</si>
  <si>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</si>
  <si>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</si>
  <si>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</si>
  <si>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</si>
  <si>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</si>
  <si>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</si>
  <si>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</si>
  <si>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</si>
  <si>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</si>
  <si>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</si>
  <si>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</si>
  <si>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</si>
  <si>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</si>
  <si>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</si>
  <si>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</si>
  <si>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</si>
  <si>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</si>
  <si>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</si>
  <si>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</si>
  <si>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</si>
  <si>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</si>
  <si>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</si>
  <si>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</si>
  <si>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</si>
  <si>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</si>
  <si>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</si>
  <si>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</si>
  <si>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</si>
  <si>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</si>
  <si>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</si>
  <si>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</si>
  <si>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</si>
  <si>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</si>
  <si>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</si>
  <si>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</si>
  <si>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</si>
  <si>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</si>
  <si>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</si>
  <si>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</si>
  <si>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</si>
  <si>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</si>
  <si>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</si>
  <si>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</si>
  <si>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</si>
  <si>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</si>
  <si>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</si>
  <si>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</si>
  <si>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</si>
  <si>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</si>
  <si>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</si>
  <si>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</si>
  <si>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</si>
  <si>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</si>
  <si>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</si>
  <si>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 xml:space="preserve">Post Oak Lane and San Felipe Intersection Throughput Enhancements </t>
  </si>
  <si>
    <t xml:space="preserve">Post Oak Lane and San Felipe Intersection </t>
  </si>
  <si>
    <t>Post Oak Lane</t>
  </si>
  <si>
    <t>San Felipe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</si>
</sst>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7" zoomScale="115" zoomScaleNormal="115" workbookViewId="0">
      <selection activeCell="B14" sqref="B14"/>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75" x14ac:dyDescent="0.25">
      <c r="A6" s="8" t="s">
        <v>97</v>
      </c>
      <c r="B6" s="137" t="s">
        <v>233</v>
      </c>
      <c r="D6" s="8"/>
      <c r="E6" s="103" t="s">
        <v>187</v>
      </c>
    </row>
    <row r="7" spans="1:7" x14ac:dyDescent="0.25">
      <c r="A7" s="8" t="s">
        <v>98</v>
      </c>
      <c r="B7" s="138" t="s">
        <v>200</v>
      </c>
      <c r="D7" s="104"/>
      <c r="E7" s="103" t="s">
        <v>196</v>
      </c>
    </row>
    <row r="8" spans="1:7" x14ac:dyDescent="0.25">
      <c r="A8" s="8" t="s">
        <v>99</v>
      </c>
      <c r="B8" s="138" t="s">
        <v>206</v>
      </c>
      <c r="D8" s="105"/>
      <c r="E8" s="103" t="s">
        <v>216</v>
      </c>
    </row>
    <row r="9" spans="1:7" x14ac:dyDescent="0.25">
      <c r="A9" s="8" t="s">
        <v>100</v>
      </c>
      <c r="B9" s="138" t="s">
        <v>234</v>
      </c>
      <c r="D9" s="106"/>
      <c r="E9" s="103" t="s">
        <v>188</v>
      </c>
    </row>
    <row r="10" spans="1:7" x14ac:dyDescent="0.25">
      <c r="A10" s="8" t="s">
        <v>101</v>
      </c>
      <c r="B10" s="138" t="s">
        <v>235</v>
      </c>
    </row>
    <row r="11" spans="1:7" x14ac:dyDescent="0.25">
      <c r="A11" s="8" t="s">
        <v>102</v>
      </c>
      <c r="B11" s="138" t="s">
        <v>236</v>
      </c>
    </row>
    <row r="12" spans="1:7" x14ac:dyDescent="0.25">
      <c r="A12" s="8" t="s">
        <v>103</v>
      </c>
      <c r="B12" s="138">
        <v>0.1</v>
      </c>
    </row>
    <row r="13" spans="1:7" x14ac:dyDescent="0.25">
      <c r="A13" s="8" t="s">
        <v>68</v>
      </c>
      <c r="B13" s="138">
        <v>205</v>
      </c>
      <c r="F13" s="120"/>
    </row>
    <row r="14" spans="1:7" x14ac:dyDescent="0.25">
      <c r="A14" s="8" t="s">
        <v>69</v>
      </c>
      <c r="B14" s="138"/>
    </row>
    <row r="17" spans="1:7" x14ac:dyDescent="0.25">
      <c r="A17" s="119" t="s">
        <v>120</v>
      </c>
      <c r="E17" s="151" t="s">
        <v>231</v>
      </c>
      <c r="F17" s="152"/>
    </row>
    <row r="18" spans="1:7" x14ac:dyDescent="0.25">
      <c r="A18" s="8" t="s">
        <v>79</v>
      </c>
      <c r="B18" s="139">
        <v>2024</v>
      </c>
      <c r="E18" s="105" t="s">
        <v>232</v>
      </c>
      <c r="F18" s="145">
        <f>$B$12/$B$32</f>
        <v>3.3333333333333335E-3</v>
      </c>
    </row>
    <row r="19" spans="1:7" ht="30" x14ac:dyDescent="0.25">
      <c r="A19" s="8" t="s">
        <v>121</v>
      </c>
      <c r="B19" s="140" t="s">
        <v>112</v>
      </c>
      <c r="E19" s="107" t="s">
        <v>212</v>
      </c>
      <c r="F19" s="146">
        <f>$B$12/$B$33</f>
        <v>1.6666666666666666E-2</v>
      </c>
    </row>
    <row r="20" spans="1:7" ht="30" x14ac:dyDescent="0.25">
      <c r="A20" s="135" t="s">
        <v>208</v>
      </c>
      <c r="B20" s="136">
        <f>VLOOKUP(B19,'Delay Reduction Factors'!B4:C80,2, FALSE)</f>
        <v>0.3</v>
      </c>
      <c r="E20" s="107" t="s">
        <v>209</v>
      </c>
      <c r="F20" s="145">
        <f>$F$19-$F$18</f>
        <v>1.3333333333333332E-2</v>
      </c>
    </row>
    <row r="21" spans="1:7" x14ac:dyDescent="0.25">
      <c r="A21" s="8" t="s">
        <v>104</v>
      </c>
      <c r="B21" s="79">
        <v>50</v>
      </c>
      <c r="D21" s="121"/>
      <c r="E21" s="105" t="s">
        <v>210</v>
      </c>
      <c r="F21" s="145">
        <f>$F$20*$B$20</f>
        <v>3.9999999999999992E-3</v>
      </c>
      <c r="G21" s="122"/>
    </row>
    <row r="22" spans="1:7" s="113" customFormat="1" x14ac:dyDescent="0.25">
      <c r="D22" s="121"/>
      <c r="E22" s="105" t="s">
        <v>211</v>
      </c>
      <c r="F22" s="145">
        <f>$F$20-$F$21</f>
        <v>9.3333333333333324E-3</v>
      </c>
      <c r="G22" s="122"/>
    </row>
    <row r="23" spans="1:7" x14ac:dyDescent="0.25">
      <c r="E23" s="105" t="s">
        <v>213</v>
      </c>
      <c r="F23" s="145">
        <f>$F$18+$F$22</f>
        <v>1.2666666666666666E-2</v>
      </c>
    </row>
    <row r="24" spans="1:7" x14ac:dyDescent="0.25">
      <c r="A24" s="119" t="s">
        <v>94</v>
      </c>
      <c r="B24" s="123"/>
      <c r="D24" s="121"/>
      <c r="G24" s="124"/>
    </row>
    <row r="25" spans="1:7" x14ac:dyDescent="0.25">
      <c r="A25" s="8" t="s">
        <v>218</v>
      </c>
      <c r="B25" s="141">
        <v>57138</v>
      </c>
      <c r="D25" s="121"/>
      <c r="G25" s="124"/>
    </row>
    <row r="28" spans="1:7" x14ac:dyDescent="0.25">
      <c r="A28" s="105" t="s">
        <v>227</v>
      </c>
      <c r="B28" s="134">
        <f>IF(FacilityType='Delay Reduction Factors'!N5,'Inputs &amp; Outputs'!B25*45%, B25*43%)</f>
        <v>24569.34</v>
      </c>
      <c r="D28" s="121"/>
      <c r="E28" s="125" t="s">
        <v>95</v>
      </c>
      <c r="F28" s="126" t="s">
        <v>20</v>
      </c>
      <c r="G28" s="127" t="s">
        <v>19</v>
      </c>
    </row>
    <row r="29" spans="1:7" x14ac:dyDescent="0.25">
      <c r="A29" s="105" t="s">
        <v>228</v>
      </c>
      <c r="B29" s="115">
        <f>VLOOKUP(Year_Open_to_Traffic?,Calculations!H4:I36,2)</f>
        <v>25589.842018982781</v>
      </c>
      <c r="D29" s="121"/>
      <c r="E29" s="107" t="s">
        <v>122</v>
      </c>
      <c r="F29" s="101">
        <f>$B$29*$F$23</f>
        <v>324.13799890711522</v>
      </c>
      <c r="G29" s="102">
        <f>$B$29*$F$19</f>
        <v>426.49736698304633</v>
      </c>
    </row>
    <row r="30" spans="1:7" x14ac:dyDescent="0.25">
      <c r="A30" s="124"/>
      <c r="B30" s="100"/>
      <c r="D30" s="121"/>
    </row>
    <row r="32" spans="1:7" x14ac:dyDescent="0.25">
      <c r="A32" s="128" t="s">
        <v>221</v>
      </c>
      <c r="B32" s="142">
        <v>30</v>
      </c>
      <c r="D32" s="121"/>
    </row>
    <row r="33" spans="1:7" ht="30" x14ac:dyDescent="0.25">
      <c r="A33" s="129" t="s">
        <v>222</v>
      </c>
      <c r="B33" s="143">
        <v>6</v>
      </c>
      <c r="D33" s="121"/>
      <c r="E33" s="121"/>
      <c r="F33" s="130"/>
      <c r="G33" s="117"/>
    </row>
    <row r="34" spans="1:7" x14ac:dyDescent="0.25">
      <c r="A34" s="131"/>
      <c r="B34" s="144"/>
      <c r="E34" s="117"/>
      <c r="F34" s="130"/>
      <c r="G34" s="130"/>
    </row>
    <row r="35" spans="1:7" x14ac:dyDescent="0.25">
      <c r="A35" s="105" t="s">
        <v>223</v>
      </c>
      <c r="B35" s="148">
        <f>$B$28</f>
        <v>24569.34</v>
      </c>
    </row>
    <row r="36" spans="1:7" x14ac:dyDescent="0.25">
      <c r="A36" s="128" t="s">
        <v>224</v>
      </c>
      <c r="B36" s="142">
        <v>33208</v>
      </c>
    </row>
    <row r="37" spans="1:7" x14ac:dyDescent="0.25">
      <c r="A37" s="128" t="s">
        <v>229</v>
      </c>
      <c r="B37" s="142">
        <v>25764</v>
      </c>
    </row>
    <row r="38" spans="1:7" x14ac:dyDescent="0.25">
      <c r="A38" s="128" t="s">
        <v>225</v>
      </c>
      <c r="B38" s="142">
        <v>45878</v>
      </c>
    </row>
    <row r="39" spans="1:7" x14ac:dyDescent="0.25">
      <c r="A39" s="128" t="s">
        <v>230</v>
      </c>
      <c r="B39" s="142">
        <v>29180</v>
      </c>
    </row>
    <row r="40" spans="1:7" x14ac:dyDescent="0.25">
      <c r="A40" s="128" t="s">
        <v>226</v>
      </c>
      <c r="B40" s="142">
        <v>45878</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8558.9566809215048</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84275.879715849951</v>
      </c>
      <c r="F4" s="22">
        <f>'Inputs &amp; Outputs'!G29*Annual_Days_of_Travel</f>
        <v>110889.31541559205</v>
      </c>
      <c r="H4" s="59">
        <v>2018</v>
      </c>
      <c r="I4" s="60">
        <f>'Inputs &amp; Outputs'!B28</f>
        <v>24569.34</v>
      </c>
      <c r="J4" s="60">
        <f>IF(H4=Year_Open_to_Traffic?,$F$4,0)</f>
        <v>0</v>
      </c>
      <c r="K4" s="60">
        <f>IF(H4=Year_Open_to_Traffic?,Calculations!$E$4,0)</f>
        <v>0</v>
      </c>
      <c r="L4" s="60">
        <f>IF(AND(H4&gt;=Year_Open_to_Traffic?, Calculations!H4&lt;Year_Open_to_Traffic?+'Inputs &amp; Outputs'!B$21), 1, 0)</f>
        <v>0</v>
      </c>
      <c r="M4" s="81" t="s">
        <v>75</v>
      </c>
      <c r="N4" s="82">
        <f>MIN(E8,1)</f>
        <v>0.73986208142616239</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6.8057466274329403E-3</v>
      </c>
      <c r="F5" s="28"/>
      <c r="H5" s="15">
        <f t="shared" ref="H5:H36" si="3">H4+1</f>
        <v>2019</v>
      </c>
      <c r="I5" s="97">
        <f>(I4*M5)+I4</f>
        <v>24736.552702843252</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6.8057466274329403E-3</v>
      </c>
      <c r="N5" s="87">
        <f t="shared" ref="N5:N11" si="6">N4*(1+IFERROR(_2018_2025_V_C_Growth,_2018_2045_V_C_Growth))</f>
        <v>0.7112868441627257</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6.2446859774571983E-3</v>
      </c>
      <c r="F6" s="28"/>
      <c r="H6" s="59">
        <f t="shared" si="3"/>
        <v>2020</v>
      </c>
      <c r="I6" s="97">
        <f t="shared" ref="I6:I36" si="10">(I5*M6)+I5</f>
        <v>24904.903412974945</v>
      </c>
      <c r="J6" s="60">
        <f t="shared" si="4"/>
        <v>0</v>
      </c>
      <c r="K6" s="60">
        <f>IF(H6=Year_Open_to_Traffic?,Calculations!$E$4,K5+(K5*M6))</f>
        <v>0</v>
      </c>
      <c r="L6" s="60">
        <f>IF(AND(H6&gt;=Year_Open_to_Traffic?, Calculations!H6&lt;Year_Open_to_Traffic?+'Inputs &amp; Outputs'!B$21), 1, 0)</f>
        <v>0</v>
      </c>
      <c r="M6" s="81">
        <f t="shared" si="5"/>
        <v>6.8057466274329403E-3</v>
      </c>
      <c r="N6" s="87">
        <f t="shared" si="6"/>
        <v>0.6838152506798808</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6.3901161166108889E-3</v>
      </c>
      <c r="F7" s="28"/>
      <c r="H7" s="15">
        <f t="shared" si="3"/>
        <v>2021</v>
      </c>
      <c r="I7" s="97">
        <f t="shared" si="10"/>
        <v>25074.399875384344</v>
      </c>
      <c r="J7" s="60">
        <f t="shared" si="4"/>
        <v>0</v>
      </c>
      <c r="K7" s="60">
        <f>IF(H7=Year_Open_to_Traffic?,Calculations!$E$4,K6+(K6*M7))</f>
        <v>0</v>
      </c>
      <c r="L7" s="60">
        <f>IF(AND(H7&gt;=Year_Open_to_Traffic?, Calculations!H7&lt;Year_Open_to_Traffic?+'Inputs &amp; Outputs'!B$21), 1, 0)</f>
        <v>0</v>
      </c>
      <c r="M7" s="81">
        <f t="shared" si="5"/>
        <v>6.8057466274329403E-3</v>
      </c>
      <c r="N7" s="87">
        <f t="shared" si="6"/>
        <v>0.65740467562396188</v>
      </c>
      <c r="O7" s="88">
        <f t="shared" si="7"/>
        <v>1</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0.73986208142616239</v>
      </c>
      <c r="F8" s="28"/>
      <c r="H8" s="59">
        <f t="shared" si="3"/>
        <v>2022</v>
      </c>
      <c r="I8" s="97">
        <f t="shared" si="10"/>
        <v>25245.049887771147</v>
      </c>
      <c r="J8" s="60">
        <f t="shared" si="4"/>
        <v>0</v>
      </c>
      <c r="K8" s="60">
        <f>IF(H8=Year_Open_to_Traffic?,Calculations!$E$4,K7+(K7*M8))</f>
        <v>0</v>
      </c>
      <c r="L8" s="60">
        <f>IF(AND(H8&gt;=Year_Open_to_Traffic?, Calculations!H8&lt;Year_Open_to_Traffic?+'Inputs &amp; Outputs'!B$21), 1, 0)</f>
        <v>0</v>
      </c>
      <c r="M8" s="81">
        <f t="shared" si="5"/>
        <v>6.8057466274329403E-3</v>
      </c>
      <c r="N8" s="87">
        <f t="shared" si="6"/>
        <v>0.63201413993407174</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x14ac:dyDescent="0.25">
      <c r="A9" s="18" t="s">
        <v>64</v>
      </c>
      <c r="B9" s="18">
        <f>'Inputs &amp; Outputs'!B21</f>
        <v>50</v>
      </c>
      <c r="D9" s="18" t="s">
        <v>65</v>
      </c>
      <c r="E9" s="23">
        <f>_2025_PeakVolume/_2025_Capacity</f>
        <v>0.56157635467980294</v>
      </c>
      <c r="F9" s="28"/>
      <c r="H9" s="15">
        <f t="shared" si="3"/>
        <v>2023</v>
      </c>
      <c r="I9" s="97">
        <f t="shared" si="10"/>
        <v>25416.86130090422</v>
      </c>
      <c r="J9" s="60">
        <f t="shared" si="4"/>
        <v>0</v>
      </c>
      <c r="K9" s="60">
        <f>IF(H9=Year_Open_to_Traffic?,Calculations!$E$4,K8+(K8*M9))</f>
        <v>0</v>
      </c>
      <c r="L9" s="60">
        <f>IF(AND(H9&gt;=Year_Open_to_Traffic?, Calculations!H9&lt;Year_Open_to_Traffic?+'Inputs &amp; Outputs'!B$21), 1, 0)</f>
        <v>0</v>
      </c>
      <c r="M9" s="81">
        <f t="shared" si="5"/>
        <v>6.8057466274329403E-3</v>
      </c>
      <c r="N9" s="87">
        <f t="shared" si="6"/>
        <v>0.60760424725833073</v>
      </c>
      <c r="O9" s="88">
        <f t="shared" si="7"/>
        <v>1</v>
      </c>
      <c r="P9" s="84">
        <f t="shared" si="8"/>
        <v>0</v>
      </c>
      <c r="Q9" s="85">
        <f t="shared" si="0"/>
        <v>0</v>
      </c>
      <c r="R9" s="86">
        <f t="shared" si="1"/>
        <v>19.863344048684343</v>
      </c>
      <c r="S9" s="94">
        <f t="shared" si="2"/>
        <v>0</v>
      </c>
      <c r="T9" s="80">
        <f t="shared" si="9"/>
        <v>0</v>
      </c>
      <c r="W9" s="73"/>
    </row>
    <row r="10" spans="1:24" x14ac:dyDescent="0.25">
      <c r="D10" s="18" t="s">
        <v>82</v>
      </c>
      <c r="E10" s="23">
        <f>_2045_PeakVolume/_2045_Capacity</f>
        <v>0.63603470072801782</v>
      </c>
      <c r="F10" s="28"/>
      <c r="H10" s="59">
        <f t="shared" si="3"/>
        <v>2024</v>
      </c>
      <c r="I10" s="97">
        <f t="shared" si="10"/>
        <v>25589.842018982781</v>
      </c>
      <c r="J10" s="60">
        <f t="shared" si="4"/>
        <v>110889.31541559205</v>
      </c>
      <c r="K10" s="60">
        <f>IF(H10=Year_Open_to_Traffic?,Calculations!$E$4,K9+(K9*M10))</f>
        <v>84275.879715849951</v>
      </c>
      <c r="L10" s="60">
        <f>IF(AND(H10&gt;=Year_Open_to_Traffic?, Calculations!H10&lt;Year_Open_to_Traffic?+'Inputs &amp; Outputs'!B$21), 1, 0)</f>
        <v>1</v>
      </c>
      <c r="M10" s="81">
        <f t="shared" si="5"/>
        <v>6.8057466274329403E-3</v>
      </c>
      <c r="N10" s="87">
        <f t="shared" si="6"/>
        <v>0.58413712282588148</v>
      </c>
      <c r="O10" s="88">
        <f t="shared" si="7"/>
        <v>1</v>
      </c>
      <c r="P10" s="84">
        <f>(J10-K10)*L10</f>
        <v>26613.435699742098</v>
      </c>
      <c r="Q10" s="85">
        <f t="shared" si="0"/>
        <v>1</v>
      </c>
      <c r="R10" s="86">
        <f t="shared" si="1"/>
        <v>20.320200961804083</v>
      </c>
      <c r="S10" s="94">
        <f t="shared" si="2"/>
        <v>751.69860276690656</v>
      </c>
      <c r="T10" s="80">
        <f t="shared" si="9"/>
        <v>500.88851860746581</v>
      </c>
      <c r="W10" s="73"/>
    </row>
    <row r="11" spans="1:24" ht="30" customHeight="1" x14ac:dyDescent="0.25">
      <c r="A11" s="153" t="s">
        <v>219</v>
      </c>
      <c r="B11" s="154"/>
      <c r="D11" s="18" t="s">
        <v>70</v>
      </c>
      <c r="E11" s="46">
        <f>(E9/E8)^(1/(2025-2018))-1</f>
        <v>-3.8622383793956439E-2</v>
      </c>
      <c r="F11" s="28"/>
      <c r="H11" s="15">
        <f t="shared" si="3"/>
        <v>2025</v>
      </c>
      <c r="I11" s="97">
        <f t="shared" si="10"/>
        <v>25764.000000000015</v>
      </c>
      <c r="J11" s="60">
        <f t="shared" si="4"/>
        <v>111644.00000000006</v>
      </c>
      <c r="K11" s="60">
        <f>IF(H11=Year_Open_to_Traffic?,Calculations!$E$4,K10+(K10*M11))</f>
        <v>84849.440000000046</v>
      </c>
      <c r="L11" s="60">
        <f>IF(AND(H11&gt;=Year_Open_to_Traffic?, Calculations!H11&lt;Year_Open_to_Traffic?+'Inputs &amp; Outputs'!B$21), 1, 0)</f>
        <v>1</v>
      </c>
      <c r="M11" s="81">
        <f t="shared" si="5"/>
        <v>6.8057466274329403E-3</v>
      </c>
      <c r="N11" s="87">
        <f t="shared" si="6"/>
        <v>0.56157635467980282</v>
      </c>
      <c r="O11" s="88">
        <f t="shared" si="7"/>
        <v>1</v>
      </c>
      <c r="P11" s="84">
        <f t="shared" si="8"/>
        <v>26794.560000000012</v>
      </c>
      <c r="Q11" s="85">
        <f t="shared" si="0"/>
        <v>1</v>
      </c>
      <c r="R11" s="86">
        <f t="shared" si="1"/>
        <v>20.787565583925574</v>
      </c>
      <c r="S11" s="94">
        <f t="shared" si="2"/>
        <v>774.22120587647635</v>
      </c>
      <c r="T11" s="80">
        <f t="shared" si="9"/>
        <v>482.14605612115253</v>
      </c>
      <c r="W11" s="73"/>
    </row>
    <row r="12" spans="1:24" x14ac:dyDescent="0.25">
      <c r="A12" s="18" t="s">
        <v>205</v>
      </c>
      <c r="B12" s="19">
        <v>0.45</v>
      </c>
      <c r="D12" s="18" t="s">
        <v>83</v>
      </c>
      <c r="E12" s="46">
        <f>(E10/E9)^(1/(2045-2025))-1</f>
        <v>6.2446859774571983E-3</v>
      </c>
      <c r="F12" s="28"/>
      <c r="H12" s="59">
        <v>2026</v>
      </c>
      <c r="I12" s="97">
        <f t="shared" si="10"/>
        <v>25924.888089523221</v>
      </c>
      <c r="J12" s="60">
        <f t="shared" si="4"/>
        <v>112341.18172126729</v>
      </c>
      <c r="K12" s="60">
        <f>IF(H12=Year_Open_to_Traffic?,Calculations!$E$4,K11+(K11*M12))</f>
        <v>85379.298108163144</v>
      </c>
      <c r="L12" s="60">
        <f>IF(AND(H12&gt;=Year_Open_to_Traffic?, Calculations!H12&lt;Year_Open_to_Traffic?+'Inputs &amp; Outputs'!B$21), 1, 0)</f>
        <v>1</v>
      </c>
      <c r="M12" s="81">
        <f t="shared" ref="M12:M36" si="11">IFERROR(_2025_2045_Demand_Growth,_2018_2045_Demand_Growth)</f>
        <v>6.2446859774571983E-3</v>
      </c>
      <c r="N12" s="87">
        <f t="shared" ref="N12:N36" si="12">N11*(1+IFERROR(_2025_2045_V_C_Growth,_2018_2045_V_C_Growth))</f>
        <v>0.56508322266714328</v>
      </c>
      <c r="O12" s="88">
        <f t="shared" si="7"/>
        <v>1</v>
      </c>
      <c r="P12" s="84">
        <f t="shared" si="8"/>
        <v>26961.883613104146</v>
      </c>
      <c r="Q12" s="85">
        <f t="shared" si="0"/>
        <v>1</v>
      </c>
      <c r="R12" s="86">
        <f t="shared" si="1"/>
        <v>21.265679592355859</v>
      </c>
      <c r="S12" s="94">
        <f t="shared" si="2"/>
        <v>796.9742615905011</v>
      </c>
      <c r="T12" s="80">
        <f t="shared" si="9"/>
        <v>463.84627634967023</v>
      </c>
      <c r="W12" s="73"/>
    </row>
    <row r="13" spans="1:24" x14ac:dyDescent="0.25">
      <c r="A13" s="18" t="s">
        <v>206</v>
      </c>
      <c r="B13" s="19">
        <v>0.43</v>
      </c>
      <c r="D13" s="18" t="s">
        <v>84</v>
      </c>
      <c r="E13" s="46">
        <f>(E10/E8)^(1/(2045-2018))-1</f>
        <v>-5.5847421931037866E-3</v>
      </c>
      <c r="F13" s="28"/>
      <c r="H13" s="15">
        <f t="shared" si="3"/>
        <v>2027</v>
      </c>
      <c r="I13" s="97">
        <f t="shared" si="10"/>
        <v>26086.780874643013</v>
      </c>
      <c r="J13" s="60">
        <f t="shared" si="4"/>
        <v>113042.71712345305</v>
      </c>
      <c r="K13" s="60">
        <f>IF(H13=Year_Open_to_Traffic?,Calculations!$E$4,K12+(K12*M13))</f>
        <v>85912.465013824331</v>
      </c>
      <c r="L13" s="60">
        <f>IF(AND(H13&gt;=Year_Open_to_Traffic?, Calculations!H13&lt;Year_Open_to_Traffic?+'Inputs &amp; Outputs'!B$21), 1, 0)</f>
        <v>1</v>
      </c>
      <c r="M13" s="81">
        <f t="shared" si="11"/>
        <v>6.2446859774571983E-3</v>
      </c>
      <c r="N13" s="87">
        <f t="shared" si="12"/>
        <v>0.56861198994382911</v>
      </c>
      <c r="O13" s="88">
        <f t="shared" si="7"/>
        <v>1</v>
      </c>
      <c r="P13" s="84">
        <f t="shared" si="8"/>
        <v>27130.252109628724</v>
      </c>
      <c r="Q13" s="85">
        <f t="shared" si="0"/>
        <v>1</v>
      </c>
      <c r="R13" s="86">
        <f t="shared" si="1"/>
        <v>21.754790222980041</v>
      </c>
      <c r="S13" s="94">
        <f t="shared" si="2"/>
        <v>820.39599124473307</v>
      </c>
      <c r="T13" s="80">
        <f t="shared" si="9"/>
        <v>446.24106191877956</v>
      </c>
      <c r="W13" s="73"/>
    </row>
    <row r="14" spans="1:24" x14ac:dyDescent="0.25">
      <c r="H14" s="59">
        <f>H13+1</f>
        <v>2028</v>
      </c>
      <c r="I14" s="97">
        <f t="shared" si="10"/>
        <v>26249.684629367894</v>
      </c>
      <c r="J14" s="60">
        <f t="shared" si="4"/>
        <v>113748.63339392754</v>
      </c>
      <c r="K14" s="60">
        <f>IF(H14=Year_Open_to_Traffic?,Calculations!$E$4,K13+(K13*M14))</f>
        <v>86448.961379384942</v>
      </c>
      <c r="L14" s="60">
        <f>IF(AND(H14&gt;=Year_Open_to_Traffic?, Calculations!H14&lt;Year_Open_to_Traffic?+'Inputs &amp; Outputs'!B$21), 1, 0)</f>
        <v>1</v>
      </c>
      <c r="M14" s="81">
        <f t="shared" si="11"/>
        <v>6.2446859774571983E-3</v>
      </c>
      <c r="N14" s="87">
        <f t="shared" si="12"/>
        <v>0.5721627932640454</v>
      </c>
      <c r="O14" s="88">
        <f t="shared" si="7"/>
        <v>1</v>
      </c>
      <c r="P14" s="84">
        <f t="shared" si="8"/>
        <v>27299.672014542593</v>
      </c>
      <c r="Q14" s="85">
        <f t="shared" si="0"/>
        <v>1</v>
      </c>
      <c r="R14" s="86">
        <f t="shared" si="1"/>
        <v>22.255150398108579</v>
      </c>
      <c r="S14" s="94">
        <f t="shared" si="2"/>
        <v>844.50604603872682</v>
      </c>
      <c r="T14" s="80">
        <f t="shared" si="9"/>
        <v>429.30405070727619</v>
      </c>
      <c r="W14" s="73"/>
    </row>
    <row r="15" spans="1:24" x14ac:dyDescent="0.25">
      <c r="H15" s="15">
        <f t="shared" si="3"/>
        <v>2029</v>
      </c>
      <c r="I15" s="97">
        <f t="shared" si="10"/>
        <v>26413.605666885582</v>
      </c>
      <c r="J15" s="60">
        <f t="shared" si="4"/>
        <v>114458.95788983752</v>
      </c>
      <c r="K15" s="60">
        <f>IF(H15=Year_Open_to_Traffic?,Calculations!$E$4,K14+(K14*M15))</f>
        <v>86988.807996276533</v>
      </c>
      <c r="L15" s="60">
        <f>IF(AND(H15&gt;=Year_Open_to_Traffic?, Calculations!H15&lt;Year_Open_to_Traffic?+'Inputs &amp; Outputs'!B$21), 1, 0)</f>
        <v>1</v>
      </c>
      <c r="M15" s="81">
        <f t="shared" si="11"/>
        <v>6.2446859774571983E-3</v>
      </c>
      <c r="N15" s="87">
        <f t="shared" si="12"/>
        <v>0.57573577023596412</v>
      </c>
      <c r="O15" s="88">
        <f t="shared" si="7"/>
        <v>1</v>
      </c>
      <c r="P15" s="84">
        <f t="shared" si="8"/>
        <v>27470.149893560985</v>
      </c>
      <c r="Q15" s="85">
        <f t="shared" si="0"/>
        <v>1</v>
      </c>
      <c r="R15" s="86">
        <f t="shared" si="1"/>
        <v>22.767018857265079</v>
      </c>
      <c r="S15" s="94">
        <f t="shared" si="2"/>
        <v>869.32465468765565</v>
      </c>
      <c r="T15" s="80">
        <f t="shared" si="9"/>
        <v>413.00988116423144</v>
      </c>
      <c r="W15" s="73"/>
    </row>
    <row r="16" spans="1:24" x14ac:dyDescent="0.25">
      <c r="H16" s="59">
        <f t="shared" si="3"/>
        <v>2030</v>
      </c>
      <c r="I16" s="97">
        <f t="shared" si="10"/>
        <v>26578.550339807665</v>
      </c>
      <c r="J16" s="60">
        <f t="shared" si="4"/>
        <v>115173.71813916655</v>
      </c>
      <c r="K16" s="60">
        <f>IF(H16=Year_Open_to_Traffic?,Calculations!$E$4,K15+(K15*M16))</f>
        <v>87532.0257857666</v>
      </c>
      <c r="L16" s="60">
        <f>IF(AND(H16&gt;=Year_Open_to_Traffic?, Calculations!H16&lt;Year_Open_to_Traffic?+'Inputs &amp; Outputs'!B$21), 1, 0)</f>
        <v>1</v>
      </c>
      <c r="M16" s="81">
        <f t="shared" si="11"/>
        <v>6.2446859774571983E-3</v>
      </c>
      <c r="N16" s="87">
        <f t="shared" si="12"/>
        <v>0.57933105932707718</v>
      </c>
      <c r="O16" s="88">
        <f t="shared" si="7"/>
        <v>1</v>
      </c>
      <c r="P16" s="84">
        <f t="shared" si="8"/>
        <v>27641.692353399951</v>
      </c>
      <c r="Q16" s="85">
        <f t="shared" si="0"/>
        <v>1</v>
      </c>
      <c r="R16" s="86">
        <f t="shared" si="1"/>
        <v>23.290660290982171</v>
      </c>
      <c r="S16" s="94">
        <f t="shared" si="2"/>
        <v>894.87264039452009</v>
      </c>
      <c r="T16" s="80">
        <f t="shared" si="9"/>
        <v>397.33415433250082</v>
      </c>
      <c r="W16" s="73"/>
    </row>
    <row r="17" spans="1:23" x14ac:dyDescent="0.25">
      <c r="A17" s="29"/>
      <c r="H17" s="15">
        <f t="shared" si="3"/>
        <v>2031</v>
      </c>
      <c r="I17" s="97">
        <f t="shared" si="10"/>
        <v>26744.525040415803</v>
      </c>
      <c r="J17" s="60">
        <f t="shared" si="4"/>
        <v>115892.94184180182</v>
      </c>
      <c r="K17" s="60">
        <f>IF(H17=Year_Open_to_Traffic?,Calculations!$E$4,K16+(K16*M17))</f>
        <v>88078.635799769399</v>
      </c>
      <c r="L17" s="60">
        <f>IF(AND(H17&gt;=Year_Open_to_Traffic?, Calculations!H17&lt;Year_Open_to_Traffic?+'Inputs &amp; Outputs'!B$21), 1, 0)</f>
        <v>1</v>
      </c>
      <c r="M17" s="81">
        <f t="shared" si="11"/>
        <v>6.2446859774571983E-3</v>
      </c>
      <c r="N17" s="87">
        <f t="shared" si="12"/>
        <v>0.58294879986956238</v>
      </c>
      <c r="O17" s="88">
        <f t="shared" si="7"/>
        <v>1</v>
      </c>
      <c r="P17" s="84">
        <f t="shared" si="8"/>
        <v>27814.306042032418</v>
      </c>
      <c r="Q17" s="85">
        <f t="shared" si="0"/>
        <v>1</v>
      </c>
      <c r="R17" s="86">
        <f t="shared" si="1"/>
        <v>23.82634547767476</v>
      </c>
      <c r="S17" s="94">
        <f t="shared" si="2"/>
        <v>921.17143832114482</v>
      </c>
      <c r="T17" s="80">
        <f t="shared" si="9"/>
        <v>382.25339731362396</v>
      </c>
      <c r="W17" s="73"/>
    </row>
    <row r="18" spans="1:23" x14ac:dyDescent="0.25">
      <c r="H18" s="59">
        <f t="shared" si="3"/>
        <v>2032</v>
      </c>
      <c r="I18" s="97">
        <f t="shared" si="10"/>
        <v>26911.536200909442</v>
      </c>
      <c r="J18" s="60">
        <f t="shared" si="4"/>
        <v>116616.65687060758</v>
      </c>
      <c r="K18" s="60">
        <f>IF(H18=Year_Open_to_Traffic?,Calculations!$E$4,K17+(K17*M18))</f>
        <v>88628.659221661772</v>
      </c>
      <c r="L18" s="60">
        <f>IF(AND(H18&gt;=Year_Open_to_Traffic?, Calculations!H18&lt;Year_Open_to_Traffic?+'Inputs &amp; Outputs'!B$21), 1, 0)</f>
        <v>1</v>
      </c>
      <c r="M18" s="81">
        <f t="shared" si="11"/>
        <v>6.2446859774571983E-3</v>
      </c>
      <c r="N18" s="87">
        <f t="shared" si="12"/>
        <v>0.58658913206568331</v>
      </c>
      <c r="O18" s="88">
        <f t="shared" si="7"/>
        <v>1</v>
      </c>
      <c r="P18" s="84">
        <f t="shared" si="8"/>
        <v>27987.997648945806</v>
      </c>
      <c r="Q18" s="85">
        <f t="shared" si="0"/>
        <v>1</v>
      </c>
      <c r="R18" s="86">
        <f t="shared" si="1"/>
        <v>24.374351423661277</v>
      </c>
      <c r="S18" s="94">
        <f t="shared" si="2"/>
        <v>948.2431135726149</v>
      </c>
      <c r="T18" s="80">
        <f t="shared" si="9"/>
        <v>367.74502811940937</v>
      </c>
      <c r="W18" s="73"/>
    </row>
    <row r="19" spans="1:23" x14ac:dyDescent="0.25">
      <c r="H19" s="15">
        <f t="shared" si="3"/>
        <v>2033</v>
      </c>
      <c r="I19" s="97">
        <f t="shared" si="10"/>
        <v>27079.590293655092</v>
      </c>
      <c r="J19" s="60">
        <f t="shared" si="4"/>
        <v>117344.8912725054</v>
      </c>
      <c r="K19" s="60">
        <f>IF(H19=Year_Open_to_Traffic?,Calculations!$E$4,K18+(K18*M19))</f>
        <v>89182.117367104118</v>
      </c>
      <c r="L19" s="60">
        <f>IF(AND(H19&gt;=Year_Open_to_Traffic?, Calculations!H19&lt;Year_Open_to_Traffic?+'Inputs &amp; Outputs'!B$21), 1, 0)</f>
        <v>1</v>
      </c>
      <c r="M19" s="81">
        <f t="shared" si="11"/>
        <v>6.2446859774571983E-3</v>
      </c>
      <c r="N19" s="87">
        <f t="shared" si="12"/>
        <v>0.59025219699322262</v>
      </c>
      <c r="O19" s="88">
        <f t="shared" si="7"/>
        <v>1</v>
      </c>
      <c r="P19" s="84">
        <f t="shared" si="8"/>
        <v>28162.773905401278</v>
      </c>
      <c r="Q19" s="85">
        <f t="shared" si="0"/>
        <v>1</v>
      </c>
      <c r="R19" s="86">
        <f t="shared" si="1"/>
        <v>24.934961506405479</v>
      </c>
      <c r="S19" s="94">
        <f t="shared" si="2"/>
        <v>976.11037971024632</v>
      </c>
      <c r="T19" s="80">
        <f t="shared" si="9"/>
        <v>353.7873218575711</v>
      </c>
      <c r="W19" s="73"/>
    </row>
    <row r="20" spans="1:23" x14ac:dyDescent="0.25">
      <c r="H20" s="59">
        <f t="shared" si="3"/>
        <v>2034</v>
      </c>
      <c r="I20" s="97">
        <f t="shared" si="10"/>
        <v>27248.693831437165</v>
      </c>
      <c r="J20" s="60">
        <f t="shared" si="4"/>
        <v>118077.67326956106</v>
      </c>
      <c r="K20" s="60">
        <f>IF(H20=Year_Open_to_Traffic?,Calculations!$E$4,K19+(K19*M20))</f>
        <v>89739.031684866408</v>
      </c>
      <c r="L20" s="60">
        <f>IF(AND(H20&gt;=Year_Open_to_Traffic?, Calculations!H20&lt;Year_Open_to_Traffic?+'Inputs &amp; Outputs'!B$21), 1, 0)</f>
        <v>1</v>
      </c>
      <c r="M20" s="81">
        <f t="shared" si="11"/>
        <v>6.2446859774571983E-3</v>
      </c>
      <c r="N20" s="87">
        <f t="shared" si="12"/>
        <v>0.59393813661094952</v>
      </c>
      <c r="O20" s="88">
        <f t="shared" si="7"/>
        <v>1</v>
      </c>
      <c r="P20" s="84">
        <f t="shared" si="8"/>
        <v>28338.641584694647</v>
      </c>
      <c r="Q20" s="85">
        <f t="shared" si="0"/>
        <v>1</v>
      </c>
      <c r="R20" s="86">
        <f t="shared" si="1"/>
        <v>25.508465621052807</v>
      </c>
      <c r="S20" s="94">
        <f t="shared" si="2"/>
        <v>1004.7966178086239</v>
      </c>
      <c r="T20" s="80">
        <f t="shared" si="9"/>
        <v>340.35937820078607</v>
      </c>
      <c r="W20" s="73"/>
    </row>
    <row r="21" spans="1:23" x14ac:dyDescent="0.25">
      <c r="H21" s="15">
        <f t="shared" si="3"/>
        <v>2035</v>
      </c>
      <c r="I21" s="97">
        <f t="shared" si="10"/>
        <v>27418.853367710366</v>
      </c>
      <c r="J21" s="60">
        <f t="shared" si="4"/>
        <v>118815.03126007825</v>
      </c>
      <c r="K21" s="60">
        <f>IF(H21=Year_Open_to_Traffic?,Calculations!$E$4,K20+(K20*M21))</f>
        <v>90299.423757659475</v>
      </c>
      <c r="L21" s="60">
        <f>IF(AND(H21&gt;=Year_Open_to_Traffic?, Calculations!H21&lt;Year_Open_to_Traffic?+'Inputs &amp; Outputs'!B$21), 1, 0)</f>
        <v>1</v>
      </c>
      <c r="M21" s="81">
        <f t="shared" si="11"/>
        <v>6.2446859774571983E-3</v>
      </c>
      <c r="N21" s="87">
        <f t="shared" si="12"/>
        <v>0.59764709376412095</v>
      </c>
      <c r="O21" s="88">
        <f t="shared" si="7"/>
        <v>1</v>
      </c>
      <c r="P21" s="84">
        <f t="shared" si="8"/>
        <v>28515.607502418774</v>
      </c>
      <c r="Q21" s="85">
        <f t="shared" si="0"/>
        <v>1</v>
      </c>
      <c r="R21" s="86">
        <f t="shared" si="1"/>
        <v>26.095160330337016</v>
      </c>
      <c r="S21" s="94">
        <f t="shared" si="2"/>
        <v>1034.3258960726848</v>
      </c>
      <c r="T21" s="80">
        <f t="shared" si="9"/>
        <v>327.44109009045474</v>
      </c>
      <c r="W21" s="73"/>
    </row>
    <row r="22" spans="1:23" x14ac:dyDescent="0.25">
      <c r="H22" s="59">
        <f>H21+1</f>
        <v>2036</v>
      </c>
      <c r="I22" s="97">
        <f t="shared" si="10"/>
        <v>27590.07549685366</v>
      </c>
      <c r="J22" s="60">
        <f t="shared" si="4"/>
        <v>119556.9938196992</v>
      </c>
      <c r="K22" s="60">
        <f>IF(H22=Year_Open_to_Traffic?,Calculations!$E$4,K21+(K21*M22))</f>
        <v>90863.315302971401</v>
      </c>
      <c r="L22" s="60">
        <f>IF(AND(H22&gt;=Year_Open_to_Traffic?, Calculations!H22&lt;Year_Open_to_Traffic?+'Inputs &amp; Outputs'!B$21), 1, 0)</f>
        <v>1</v>
      </c>
      <c r="M22" s="81">
        <f t="shared" si="11"/>
        <v>6.2446859774571983E-3</v>
      </c>
      <c r="N22" s="87">
        <f t="shared" si="12"/>
        <v>0.60137921219001778</v>
      </c>
      <c r="O22" s="88">
        <f t="shared" si="7"/>
        <v>1</v>
      </c>
      <c r="P22" s="84">
        <f t="shared" si="8"/>
        <v>28693.678516727799</v>
      </c>
      <c r="Q22" s="85">
        <f t="shared" si="0"/>
        <v>1</v>
      </c>
      <c r="R22" s="86">
        <f t="shared" si="1"/>
        <v>26.695349017934767</v>
      </c>
      <c r="S22" s="94">
        <f t="shared" si="2"/>
        <v>1064.7229900313268</v>
      </c>
      <c r="T22" s="80">
        <f t="shared" si="9"/>
        <v>315.01311362831041</v>
      </c>
      <c r="W22" s="73"/>
    </row>
    <row r="23" spans="1:23" x14ac:dyDescent="0.25">
      <c r="H23" s="15">
        <f t="shared" si="3"/>
        <v>2037</v>
      </c>
      <c r="I23" s="97">
        <f t="shared" si="10"/>
        <v>27762.366854425847</v>
      </c>
      <c r="J23" s="60">
        <f t="shared" si="4"/>
        <v>120303.58970251201</v>
      </c>
      <c r="K23" s="60">
        <f>IF(H23=Year_Open_to_Traffic?,Calculations!$E$4,K22+(K22*M23))</f>
        <v>91430.728173909141</v>
      </c>
      <c r="L23" s="60">
        <f>IF(AND(H23&gt;=Year_Open_to_Traffic?, Calculations!H23&lt;Year_Open_to_Traffic?+'Inputs &amp; Outputs'!B$21), 1, 0)</f>
        <v>1</v>
      </c>
      <c r="M23" s="81">
        <f t="shared" si="11"/>
        <v>6.2446859774571983E-3</v>
      </c>
      <c r="N23" s="87">
        <f t="shared" si="12"/>
        <v>0.60513463652351507</v>
      </c>
      <c r="O23" s="88">
        <f t="shared" si="7"/>
        <v>1</v>
      </c>
      <c r="P23" s="84">
        <f t="shared" si="8"/>
        <v>28872.861528602865</v>
      </c>
      <c r="Q23" s="85">
        <f t="shared" si="0"/>
        <v>1</v>
      </c>
      <c r="R23" s="86">
        <f t="shared" si="1"/>
        <v>27.309342045347261</v>
      </c>
      <c r="S23" s="94">
        <f t="shared" si="2"/>
        <v>1096.0134033244633</v>
      </c>
      <c r="T23" s="80">
        <f t="shared" si="9"/>
        <v>303.05683911078421</v>
      </c>
      <c r="W23" s="73"/>
    </row>
    <row r="24" spans="1:23" x14ac:dyDescent="0.25">
      <c r="H24" s="59">
        <f t="shared" si="3"/>
        <v>2038</v>
      </c>
      <c r="I24" s="97">
        <f t="shared" si="10"/>
        <v>27935.734117422704</v>
      </c>
      <c r="J24" s="60">
        <f t="shared" si="4"/>
        <v>121054.84784216505</v>
      </c>
      <c r="K24" s="60">
        <f>IF(H24=Year_Open_to_Traffic?,Calculations!$E$4,K23+(K23*M24))</f>
        <v>92001.684360045459</v>
      </c>
      <c r="L24" s="60">
        <f>IF(AND(H24&gt;=Year_Open_to_Traffic?, Calculations!H24&lt;Year_Open_to_Traffic?+'Inputs &amp; Outputs'!B$21), 1, 0)</f>
        <v>1</v>
      </c>
      <c r="M24" s="81">
        <f t="shared" si="11"/>
        <v>6.2446859774571983E-3</v>
      </c>
      <c r="N24" s="87">
        <f t="shared" si="12"/>
        <v>0.60891351230268709</v>
      </c>
      <c r="O24" s="88">
        <f t="shared" si="7"/>
        <v>1</v>
      </c>
      <c r="P24" s="84">
        <f>(J24-K24)*L24</f>
        <v>29053.163482119591</v>
      </c>
      <c r="Q24" s="85">
        <f t="shared" si="0"/>
        <v>1</v>
      </c>
      <c r="R24" s="86">
        <f t="shared" si="1"/>
        <v>27.93745691239025</v>
      </c>
      <c r="S24" s="94">
        <f t="shared" si="2"/>
        <v>1128.2233891009807</v>
      </c>
      <c r="T24" s="80">
        <f t="shared" si="9"/>
        <v>291.55436316275882</v>
      </c>
      <c r="W24" s="73"/>
    </row>
    <row r="25" spans="1:23" x14ac:dyDescent="0.25">
      <c r="H25" s="15">
        <f t="shared" si="3"/>
        <v>2039</v>
      </c>
      <c r="I25" s="97">
        <f t="shared" si="10"/>
        <v>28110.184004535746</v>
      </c>
      <c r="J25" s="60">
        <f t="shared" si="4"/>
        <v>121810.79735298823</v>
      </c>
      <c r="K25" s="60">
        <f>IF(H25=Year_Open_to_Traffic?,Calculations!$E$4,K24+(K24*M25))</f>
        <v>92576.205988271075</v>
      </c>
      <c r="L25" s="60">
        <f>IF(AND(H25&gt;=Year_Open_to_Traffic?, Calculations!H25&lt;Year_Open_to_Traffic?+'Inputs &amp; Outputs'!B$21), 1, 0)</f>
        <v>1</v>
      </c>
      <c r="M25" s="81">
        <f t="shared" si="11"/>
        <v>6.2446859774571983E-3</v>
      </c>
      <c r="N25" s="87">
        <f t="shared" si="12"/>
        <v>0.61271598597444787</v>
      </c>
      <c r="O25" s="88">
        <f t="shared" si="7"/>
        <v>1</v>
      </c>
      <c r="P25" s="84">
        <f t="shared" si="8"/>
        <v>29234.591364717155</v>
      </c>
      <c r="Q25" s="85">
        <f t="shared" si="0"/>
        <v>1</v>
      </c>
      <c r="R25" s="86">
        <f t="shared" si="1"/>
        <v>28.580018421375218</v>
      </c>
      <c r="S25" s="94">
        <f t="shared" si="2"/>
        <v>1161.3799720455404</v>
      </c>
      <c r="T25" s="80">
        <f t="shared" si="9"/>
        <v>280.48846192897872</v>
      </c>
      <c r="W25" s="73"/>
    </row>
    <row r="26" spans="1:23" x14ac:dyDescent="0.25">
      <c r="H26" s="59">
        <f t="shared" si="3"/>
        <v>2040</v>
      </c>
      <c r="I26" s="97">
        <f t="shared" si="10"/>
        <v>28285.723276412613</v>
      </c>
      <c r="J26" s="60">
        <f t="shared" si="4"/>
        <v>122571.46753112132</v>
      </c>
      <c r="K26" s="60">
        <f>IF(H26=Year_Open_to_Traffic?,Calculations!$E$4,K25+(K25*M26))</f>
        <v>93154.315323652219</v>
      </c>
      <c r="L26" s="60">
        <f>IF(AND(H26&gt;=Year_Open_to_Traffic?, Calculations!H26&lt;Year_Open_to_Traffic?+'Inputs &amp; Outputs'!B$21), 1, 0)</f>
        <v>1</v>
      </c>
      <c r="M26" s="81">
        <f t="shared" si="11"/>
        <v>6.2446859774571983E-3</v>
      </c>
      <c r="N26" s="87">
        <f t="shared" si="12"/>
        <v>0.61654220490022638</v>
      </c>
      <c r="O26" s="88">
        <f t="shared" si="7"/>
        <v>1</v>
      </c>
      <c r="P26" s="84">
        <f t="shared" si="8"/>
        <v>29417.152207469102</v>
      </c>
      <c r="Q26" s="85">
        <f t="shared" si="0"/>
        <v>1</v>
      </c>
      <c r="R26" s="86">
        <f t="shared" si="1"/>
        <v>29.237358845066851</v>
      </c>
      <c r="S26" s="94">
        <f t="shared" si="2"/>
        <v>1195.5109710527172</v>
      </c>
      <c r="T26" s="80">
        <f t="shared" si="9"/>
        <v>269.84256528297931</v>
      </c>
      <c r="W26" s="73"/>
    </row>
    <row r="27" spans="1:23" x14ac:dyDescent="0.25">
      <c r="H27" s="15">
        <f t="shared" si="3"/>
        <v>2041</v>
      </c>
      <c r="I27" s="97">
        <f t="shared" si="10"/>
        <v>28462.358735919061</v>
      </c>
      <c r="J27" s="60">
        <f t="shared" si="4"/>
        <v>123336.88785564927</v>
      </c>
      <c r="K27" s="60">
        <f>IF(H27=Year_Open_to_Traffic?,Calculations!$E$4,K26+(K26*M27))</f>
        <v>93736.034770293452</v>
      </c>
      <c r="L27" s="60">
        <f>IF(AND(H27&gt;=Year_Open_to_Traffic?, Calculations!H27&lt;Year_Open_to_Traffic?+'Inputs &amp; Outputs'!B$21), 1, 0)</f>
        <v>1</v>
      </c>
      <c r="M27" s="81">
        <f t="shared" si="11"/>
        <v>6.2446859774571983E-3</v>
      </c>
      <c r="N27" s="87">
        <f t="shared" si="12"/>
        <v>0.62039231736167733</v>
      </c>
      <c r="O27" s="88">
        <f t="shared" si="7"/>
        <v>1</v>
      </c>
      <c r="P27" s="84">
        <f t="shared" si="8"/>
        <v>29600.853085355819</v>
      </c>
      <c r="Q27" s="85">
        <f t="shared" si="0"/>
        <v>1</v>
      </c>
      <c r="R27" s="86">
        <f t="shared" si="1"/>
        <v>29.909818098503379</v>
      </c>
      <c r="S27" s="94">
        <f t="shared" si="2"/>
        <v>1230.645022567486</v>
      </c>
      <c r="T27" s="80">
        <f t="shared" si="9"/>
        <v>259.6007320149094</v>
      </c>
      <c r="W27" s="73"/>
    </row>
    <row r="28" spans="1:23" x14ac:dyDescent="0.25">
      <c r="H28" s="59">
        <f t="shared" si="3"/>
        <v>2042</v>
      </c>
      <c r="I28" s="97">
        <f t="shared" si="10"/>
        <v>28640.09722840261</v>
      </c>
      <c r="J28" s="60">
        <f t="shared" si="4"/>
        <v>124107.08798974466</v>
      </c>
      <c r="K28" s="60">
        <f>IF(H28=Year_Open_to_Traffic?,Calculations!$E$4,K27+(K27*M28))</f>
        <v>94321.386872205941</v>
      </c>
      <c r="L28" s="60">
        <f>IF(AND(H28&gt;=Year_Open_to_Traffic?, Calculations!H28&lt;Year_Open_to_Traffic?+'Inputs &amp; Outputs'!B$21), 1, 0)</f>
        <v>1</v>
      </c>
      <c r="M28" s="81">
        <f t="shared" si="11"/>
        <v>6.2446859774571983E-3</v>
      </c>
      <c r="N28" s="87">
        <f t="shared" si="12"/>
        <v>0.62426647256642798</v>
      </c>
      <c r="O28" s="88">
        <f t="shared" si="7"/>
        <v>1</v>
      </c>
      <c r="P28" s="84">
        <f t="shared" si="8"/>
        <v>29785.701117538716</v>
      </c>
      <c r="Q28" s="85">
        <f t="shared" si="0"/>
        <v>1</v>
      </c>
      <c r="R28" s="86">
        <f t="shared" si="1"/>
        <v>30.597743914768959</v>
      </c>
      <c r="S28" s="94">
        <f t="shared" si="2"/>
        <v>1266.8116046116531</v>
      </c>
      <c r="T28" s="80">
        <f t="shared" si="9"/>
        <v>249.74762596109846</v>
      </c>
      <c r="W28" s="73"/>
    </row>
    <row r="29" spans="1:23" x14ac:dyDescent="0.25">
      <c r="H29" s="15">
        <f t="shared" si="3"/>
        <v>2043</v>
      </c>
      <c r="I29" s="97">
        <f t="shared" si="10"/>
        <v>28818.945641957827</v>
      </c>
      <c r="J29" s="60">
        <f t="shared" si="4"/>
        <v>124882.09778181727</v>
      </c>
      <c r="K29" s="60">
        <f>IF(H29=Year_Open_to_Traffic?,Calculations!$E$4,K28+(K28*M29))</f>
        <v>94910.394314181118</v>
      </c>
      <c r="L29" s="60">
        <f>IF(AND(H29&gt;=Year_Open_to_Traffic?, Calculations!H29&lt;Year_Open_to_Traffic?+'Inputs &amp; Outputs'!B$21), 1, 0)</f>
        <v>1</v>
      </c>
      <c r="M29" s="81">
        <f t="shared" si="11"/>
        <v>6.2446859774571983E-3</v>
      </c>
      <c r="N29" s="87">
        <f t="shared" si="12"/>
        <v>0.62816482065386026</v>
      </c>
      <c r="O29" s="88">
        <f t="shared" si="7"/>
        <v>1</v>
      </c>
      <c r="P29" s="84">
        <f t="shared" si="8"/>
        <v>29971.703467636151</v>
      </c>
      <c r="Q29" s="85">
        <f t="shared" si="0"/>
        <v>1</v>
      </c>
      <c r="R29" s="86">
        <f t="shared" si="1"/>
        <v>31.301492024808638</v>
      </c>
      <c r="S29" s="94">
        <f t="shared" si="2"/>
        <v>1304.0410615163778</v>
      </c>
      <c r="T29" s="80">
        <f t="shared" si="9"/>
        <v>240.26849303962084</v>
      </c>
      <c r="W29" s="73"/>
    </row>
    <row r="30" spans="1:23" x14ac:dyDescent="0.25">
      <c r="H30" s="15">
        <f t="shared" si="3"/>
        <v>2044</v>
      </c>
      <c r="I30" s="97">
        <f t="shared" si="10"/>
        <v>28998.910907693262</v>
      </c>
      <c r="J30" s="60">
        <f t="shared" si="4"/>
        <v>125661.94726667082</v>
      </c>
      <c r="K30" s="60">
        <f>IF(H30=Year_Open_to_Traffic?,Calculations!$E$4,K29+(K29*M30))</f>
        <v>95503.079922669815</v>
      </c>
      <c r="L30" s="60">
        <f>IF(AND(H30&gt;=Year_Open_to_Traffic?, Calculations!H30&lt;Year_Open_to_Traffic?+'Inputs &amp; Outputs'!B$21), 1, 0)</f>
        <v>1</v>
      </c>
      <c r="M30" s="81">
        <f t="shared" si="11"/>
        <v>6.2446859774571983E-3</v>
      </c>
      <c r="N30" s="87">
        <f t="shared" si="12"/>
        <v>0.63208751270092933</v>
      </c>
      <c r="O30" s="88">
        <f t="shared" si="7"/>
        <v>1</v>
      </c>
      <c r="P30" s="84">
        <f t="shared" si="8"/>
        <v>30158.867344001002</v>
      </c>
      <c r="Q30" s="85">
        <f t="shared" si="0"/>
        <v>1</v>
      </c>
      <c r="R30" s="86">
        <f t="shared" si="1"/>
        <v>32.021426341379232</v>
      </c>
      <c r="S30" s="94">
        <f t="shared" si="2"/>
        <v>1342.3646293815441</v>
      </c>
      <c r="T30" s="80">
        <f t="shared" si="9"/>
        <v>231.1491391574724</v>
      </c>
      <c r="W30" s="73"/>
    </row>
    <row r="31" spans="1:23" x14ac:dyDescent="0.25">
      <c r="H31" s="15">
        <f t="shared" si="3"/>
        <v>2045</v>
      </c>
      <c r="I31" s="97">
        <f t="shared" si="10"/>
        <v>29180.000000000065</v>
      </c>
      <c r="J31" s="60">
        <f t="shared" si="4"/>
        <v>126446.66666666696</v>
      </c>
      <c r="K31" s="60">
        <f>IF(H31=Year_Open_to_Traffic?,Calculations!$E$4,K30+(K30*M31))</f>
        <v>96099.466666666878</v>
      </c>
      <c r="L31" s="60">
        <f>IF(AND(H31&gt;=Year_Open_to_Traffic?, Calculations!H31&lt;Year_Open_to_Traffic?+'Inputs &amp; Outputs'!B$21), 1, 0)</f>
        <v>1</v>
      </c>
      <c r="M31" s="81">
        <f t="shared" si="11"/>
        <v>6.2446859774571983E-3</v>
      </c>
      <c r="N31" s="87">
        <f t="shared" si="12"/>
        <v>0.6360347007280186</v>
      </c>
      <c r="O31" s="88">
        <f t="shared" si="7"/>
        <v>1</v>
      </c>
      <c r="P31" s="84">
        <f t="shared" si="8"/>
        <v>30347.200000000084</v>
      </c>
      <c r="Q31" s="85">
        <f t="shared" si="0"/>
        <v>1</v>
      </c>
      <c r="R31" s="86">
        <f t="shared" si="1"/>
        <v>32.757919147230957</v>
      </c>
      <c r="S31" s="94">
        <f t="shared" si="2"/>
        <v>1381.8144622833415</v>
      </c>
      <c r="T31" s="80">
        <f t="shared" si="9"/>
        <v>222.37590895627687</v>
      </c>
      <c r="W31" s="73"/>
    </row>
    <row r="32" spans="1:23" x14ac:dyDescent="0.25">
      <c r="H32" s="15">
        <f t="shared" si="3"/>
        <v>2046</v>
      </c>
      <c r="I32" s="97">
        <f t="shared" si="10"/>
        <v>29362.219936822268</v>
      </c>
      <c r="J32" s="60">
        <f t="shared" si="4"/>
        <v>127236.28639289651</v>
      </c>
      <c r="K32" s="60">
        <f>IF(H32=Year_Open_to_Traffic?,Calculations!$E$4,K31+(K31*M32))</f>
        <v>96699.577658601323</v>
      </c>
      <c r="L32" s="60">
        <f>IF(AND(H32&gt;=Year_Open_to_Traffic?, Calculations!H32&lt;Year_Open_to_Traffic?+'Inputs &amp; Outputs'!B$21), 1, 0)</f>
        <v>1</v>
      </c>
      <c r="M32" s="81">
        <f t="shared" si="11"/>
        <v>6.2446859774571983E-3</v>
      </c>
      <c r="N32" s="87">
        <f t="shared" si="12"/>
        <v>0.64000653770483107</v>
      </c>
      <c r="O32" s="88">
        <f t="shared" si="7"/>
        <v>1</v>
      </c>
      <c r="P32" s="84">
        <f t="shared" si="8"/>
        <v>30536.708734295185</v>
      </c>
      <c r="Q32" s="85">
        <f t="shared" si="0"/>
        <v>1</v>
      </c>
      <c r="R32" s="86">
        <f t="shared" si="1"/>
        <v>33.511351287617266</v>
      </c>
      <c r="S32" s="94">
        <f t="shared" si="2"/>
        <v>1422.4236592520369</v>
      </c>
      <c r="T32" s="80">
        <f t="shared" si="9"/>
        <v>213.9356653646951</v>
      </c>
      <c r="W32" s="73"/>
    </row>
    <row r="33" spans="8:23" x14ac:dyDescent="0.25">
      <c r="H33" s="15">
        <f t="shared" si="3"/>
        <v>2047</v>
      </c>
      <c r="I33" s="97">
        <f t="shared" si="10"/>
        <v>29545.577779928757</v>
      </c>
      <c r="J33" s="60">
        <f t="shared" si="4"/>
        <v>128030.83704635796</v>
      </c>
      <c r="K33" s="60">
        <f>IF(H33=Year_Open_to_Traffic?,Calculations!$E$4,K32+(K32*M33))</f>
        <v>97303.436155232019</v>
      </c>
      <c r="L33" s="60">
        <f>IF(AND(H33&gt;=Year_Open_to_Traffic?, Calculations!H33&lt;Year_Open_to_Traffic?+'Inputs &amp; Outputs'!B$21), 1, 0)</f>
        <v>1</v>
      </c>
      <c r="M33" s="81">
        <f t="shared" si="11"/>
        <v>6.2446859774571983E-3</v>
      </c>
      <c r="N33" s="87">
        <f t="shared" si="12"/>
        <v>0.64400317755631731</v>
      </c>
      <c r="O33" s="88">
        <f t="shared" si="7"/>
        <v>1</v>
      </c>
      <c r="P33" s="84">
        <f t="shared" si="8"/>
        <v>30727.400891125944</v>
      </c>
      <c r="Q33" s="85">
        <f t="shared" si="0"/>
        <v>1</v>
      </c>
      <c r="R33" s="86">
        <f t="shared" si="1"/>
        <v>34.282112367232457</v>
      </c>
      <c r="S33" s="94">
        <f t="shared" si="2"/>
        <v>1464.226292042584</v>
      </c>
      <c r="T33" s="80">
        <f t="shared" si="9"/>
        <v>205.81576992691996</v>
      </c>
      <c r="W33" s="73"/>
    </row>
    <row r="34" spans="8:23" x14ac:dyDescent="0.25">
      <c r="H34" s="15">
        <f t="shared" si="3"/>
        <v>2048</v>
      </c>
      <c r="I34" s="97">
        <f t="shared" si="10"/>
        <v>29730.080635186951</v>
      </c>
      <c r="J34" s="60">
        <f t="shared" si="4"/>
        <v>128830.34941914346</v>
      </c>
      <c r="K34" s="60">
        <f>IF(H34=Year_Open_to_Traffic?,Calculations!$E$4,K33+(K33*M34))</f>
        <v>97911.065558549002</v>
      </c>
      <c r="L34" s="60">
        <f>IF(AND(H34&gt;=Year_Open_to_Traffic?, Calculations!H34&lt;Year_Open_to_Traffic?+'Inputs &amp; Outputs'!B$21), 1, 0)</f>
        <v>1</v>
      </c>
      <c r="M34" s="81">
        <f t="shared" si="11"/>
        <v>6.2446859774571983E-3</v>
      </c>
      <c r="N34" s="87">
        <f t="shared" si="12"/>
        <v>0.6480247751686411</v>
      </c>
      <c r="O34" s="88">
        <f t="shared" si="7"/>
        <v>1</v>
      </c>
      <c r="P34" s="84">
        <f t="shared" si="8"/>
        <v>30919.283860594456</v>
      </c>
      <c r="Q34" s="85">
        <f t="shared" si="0"/>
        <v>1</v>
      </c>
      <c r="R34" s="86">
        <f t="shared" si="1"/>
        <v>35.070600951678806</v>
      </c>
      <c r="S34" s="94">
        <f t="shared" si="2"/>
        <v>1507.2574337213614</v>
      </c>
      <c r="T34" s="80">
        <f t="shared" si="9"/>
        <v>198.00406387780046</v>
      </c>
      <c r="W34" s="73"/>
    </row>
    <row r="35" spans="8:23" x14ac:dyDescent="0.25">
      <c r="H35" s="15">
        <f t="shared" si="3"/>
        <v>2049</v>
      </c>
      <c r="I35" s="97">
        <f t="shared" si="10"/>
        <v>29915.735652838175</v>
      </c>
      <c r="J35" s="60">
        <f t="shared" si="4"/>
        <v>129634.8544956321</v>
      </c>
      <c r="K35" s="60">
        <f>IF(H35=Year_Open_to_Traffic?,Calculations!$E$4,K34+(K34*M35))</f>
        <v>98522.489416680372</v>
      </c>
      <c r="L35" s="60">
        <f>IF(AND(H35&gt;=Year_Open_to_Traffic?, Calculations!H35&lt;Year_Open_to_Traffic?+'Inputs &amp; Outputs'!B$21), 1, 0)</f>
        <v>1</v>
      </c>
      <c r="M35" s="81">
        <f t="shared" si="11"/>
        <v>6.2446859774571983E-3</v>
      </c>
      <c r="N35" s="87">
        <f t="shared" si="12"/>
        <v>0.65207148639518153</v>
      </c>
      <c r="O35" s="88">
        <f t="shared" si="7"/>
        <v>1</v>
      </c>
      <c r="P35" s="84">
        <f t="shared" si="8"/>
        <v>31112.365078951727</v>
      </c>
      <c r="Q35" s="85">
        <f t="shared" si="0"/>
        <v>1</v>
      </c>
      <c r="R35" s="86">
        <f t="shared" si="1"/>
        <v>35.877224773567399</v>
      </c>
      <c r="S35" s="94">
        <f t="shared" si="2"/>
        <v>1551.5531880930275</v>
      </c>
      <c r="T35" s="80">
        <f t="shared" si="9"/>
        <v>190.48884993625609</v>
      </c>
      <c r="W35" s="73"/>
    </row>
    <row r="36" spans="8:23" x14ac:dyDescent="0.25">
      <c r="H36" s="15">
        <f t="shared" si="3"/>
        <v>2050</v>
      </c>
      <c r="I36" s="97">
        <f t="shared" si="10"/>
        <v>30102.550027774771</v>
      </c>
      <c r="J36" s="60">
        <f t="shared" si="4"/>
        <v>130444.38345369068</v>
      </c>
      <c r="K36" s="60">
        <f>IF(H36=Year_Open_to_Traffic?,Calculations!$E$4,K35+(K35*M36))</f>
        <v>99137.731424804893</v>
      </c>
      <c r="L36" s="60">
        <f>IF(AND(H36&gt;=Year_Open_to_Traffic?, Calculations!H36&lt;Year_Open_to_Traffic?+'Inputs &amp; Outputs'!B$21), 1, 0)</f>
        <v>1</v>
      </c>
      <c r="M36" s="81">
        <f t="shared" si="11"/>
        <v>6.2446859774571983E-3</v>
      </c>
      <c r="N36" s="87">
        <f t="shared" si="12"/>
        <v>0.65614346806257318</v>
      </c>
      <c r="O36" s="88">
        <f t="shared" si="7"/>
        <v>1</v>
      </c>
      <c r="P36" s="84">
        <f t="shared" si="8"/>
        <v>31306.652028885786</v>
      </c>
      <c r="Q36" s="85">
        <f t="shared" si="0"/>
        <v>1</v>
      </c>
      <c r="R36" s="86">
        <f t="shared" si="1"/>
        <v>36.702400943359457</v>
      </c>
      <c r="S36" s="94">
        <f t="shared" si="2"/>
        <v>1597.1507199921816</v>
      </c>
      <c r="T36" s="80">
        <f t="shared" si="9"/>
        <v>183.25887478971995</v>
      </c>
      <c r="W36" s="73"/>
    </row>
    <row r="37" spans="8:23" x14ac:dyDescent="0.25">
      <c r="H37" s="52"/>
      <c r="I37" s="52"/>
      <c r="J37" s="52"/>
      <c r="K37" s="52"/>
      <c r="L37" s="52"/>
      <c r="M37" s="75"/>
      <c r="N37" s="76"/>
      <c r="O37" s="77"/>
      <c r="P37" s="52"/>
      <c r="Q37" s="52"/>
      <c r="R37" s="52"/>
      <c r="S37" s="74"/>
      <c r="T37" s="80">
        <f>SUM(T4:T36)</f>
        <v>8558.9566809215048</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2018-07-16T14:36:56Z</cp:lastPrinted>
  <dcterms:created xsi:type="dcterms:W3CDTF">2012-07-25T15:48:32Z</dcterms:created>
  <dcterms:modified xsi:type="dcterms:W3CDTF">2018-10-25T00:16:45Z</dcterms:modified>
</cp:coreProperties>
</file>