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UPT - Post Oak &amp; San Felipe\"/>
    </mc:Choice>
  </mc:AlternateContent>
  <xr:revisionPtr revIDLastSave="0" documentId="13_ncr:1_{9D0CA8FE-6896-4C76-BEF0-BE2B2800A965}" xr6:coauthVersionLast="37" xr6:coauthVersionMax="37" xr10:uidLastSave="{00000000-0000-0000-0000-000000000000}"/>
  <bookViews>
    <workbookView xWindow="351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3" i="12"/>
  <c r="J31" i="12"/>
  <c r="J27" i="12"/>
  <c r="J5" i="12" s="1"/>
  <c r="R10" i="12" s="1"/>
  <c r="T10" i="12" s="1"/>
  <c r="U10" i="12" s="1"/>
  <c r="J32" i="12"/>
  <c r="J30" i="12"/>
  <c r="J28" i="12"/>
  <c r="R11" i="12" l="1"/>
  <c r="R12" i="12"/>
  <c r="T11" i="12"/>
  <c r="U11" i="12" s="1"/>
  <c r="R13" i="12" l="1"/>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U37" i="12" s="1"/>
  <c r="C37" i="11" s="1"/>
  <c r="T35" i="12"/>
  <c r="U35" i="12"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<sst xmlns="http://schemas.openxmlformats.org/spreadsheetml/2006/main" count="440" uniqueCount="286">
  <si>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</si>
  <si>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</si>
  <si>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</si>
  <si>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</si>
  <si>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</si>
  <si>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</si>
  <si>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</si>
  <si>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</si>
  <si>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</si>
  <si>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</si>
  <si>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</si>
  <si>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</si>
  <si>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</si>
  <si>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</si>
  <si>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</si>
  <si>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</si>
  <si>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</si>
  <si>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</si>
  <si>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</si>
  <si>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</si>
  <si>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</si>
  <si>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</si>
  <si>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</si>
  <si>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</si>
  <si>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</si>
  <si>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</si>
  <si>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</si>
  <si>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</si>
  <si>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</si>
  <si>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</si>
  <si>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</si>
  <si>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</si>
  <si>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</si>
  <si>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</si>
  <si>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</si>
  <si>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</si>
  <si>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</si>
  <si>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</si>
  <si>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</si>
  <si>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</si>
  <si>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</si>
  <si>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</si>
  <si>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</si>
  <si>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</si>
  <si>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</si>
  <si>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</si>
  <si>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</si>
  <si>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</si>
  <si>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</si>
  <si>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</si>
  <si>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</si>
  <si>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</si>
  <si>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</si>
  <si>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</si>
  <si>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</si>
  <si>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</si>
  <si>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</si>
  <si>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</si>
  <si>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</si>
  <si>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</si>
  <si>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</si>
  <si>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</si>
  <si>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</si>
  <si>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</si>
  <si>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</si>
  <si>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</si>
  <si>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</si>
  <si>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</si>
  <si>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</si>
  <si>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</si>
  <si>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</si>
  <si>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</si>
  <si>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</si>
  <si>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</si>
  <si>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</si>
  <si>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</si>
  <si>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</si>
  <si>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</si>
  <si>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</si>
  <si>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</si>
  <si>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</si>
  <si>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</si>
  <si>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</si>
  <si>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</si>
  <si>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</si>
  <si>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</si>
  <si>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</si>
  <si>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</si>
  <si>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</si>
  <si>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</si>
  <si>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</si>
  <si>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</si>
  <si>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</si>
  <si>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</si>
  <si>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</si>
  <si>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</si>
  <si>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</si>
  <si>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</si>
  <si>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</si>
  <si>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</si>
  <si>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</si>
  <si>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</si>
  <si>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</si>
  <si>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</si>
  <si>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</si>
  <si>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</si>
  <si>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</si>
  <si>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</si>
  <si>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</si>
  <si>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</si>
  <si>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</si>
  <si>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</si>
  <si>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</si>
  <si>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</si>
  <si>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</si>
  <si>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</si>
  <si>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</si>
  <si>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</si>
  <si>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</si>
  <si>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</si>
  <si>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</si>
  <si>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</si>
  <si>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</si>
  <si>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</si>
  <si>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</si>
  <si>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</si>
  <si>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</si>
  <si>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</si>
  <si>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</si>
  <si>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</si>
  <si>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</si>
  <si>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</si>
  <si>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</si>
  <si>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</si>
  <si>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</si>
  <si>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</si>
  <si>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</si>
  <si>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</si>
  <si>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</si>
  <si>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</si>
  <si>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</si>
  <si>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</si>
  <si>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</si>
  <si>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</si>
  <si>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</si>
  <si>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</si>
  <si>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</si>
  <si>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</si>
  <si>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</si>
  <si>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</si>
  <si>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</si>
  <si>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</si>
  <si>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</si>
  <si>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</si>
  <si>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</si>
  <si>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</si>
  <si>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</si>
  <si>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</si>
  <si>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</si>
  <si>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</si>
  <si>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</si>
  <si>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</si>
  <si>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</si>
  <si>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</si>
  <si>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</si>
  <si>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</si>
  <si>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</si>
  <si>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</si>
  <si>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</si>
  <si>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</si>
  <si>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</si>
  <si>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</si>
  <si>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</si>
  <si>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</si>
  <si>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</si>
  <si>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</si>
  <si>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</si>
  <si>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</si>
  <si>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</si>
  <si>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</si>
  <si>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</si>
  <si>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</si>
  <si>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</si>
  <si>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</si>
  <si>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</si>
  <si>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</si>
  <si>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</si>
  <si>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</si>
  <si>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</si>
  <si>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</si>
  <si>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</si>
  <si>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</si>
  <si>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</si>
  <si>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</si>
  <si>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</si>
  <si>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</si>
  <si>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</si>
  <si>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</si>
  <si>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</si>
  <si>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</si>
  <si>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</si>
  <si>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</si>
  <si>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</si>
  <si>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</si>
  <si>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</si>
  <si>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</si>
  <si>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</si>
  <si>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</si>
  <si>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</si>
  <si>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</si>
  <si>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</si>
  <si>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</si>
  <si>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</si>
  <si>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</si>
  <si>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</si>
  <si>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</si>
  <si>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</si>
  <si>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</si>
  <si>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</si>
  <si>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</si>
  <si>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</si>
  <si>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</si>
  <si>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</si>
  <si>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</si>
  <si>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</si>
  <si>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</si>
  <si>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</si>
  <si>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</si>
  <si>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</si>
  <si>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</si>
  <si>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</si>
  <si>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</si>
  <si>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</si>
  <si>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</si>
  <si>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</si>
  <si>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</si>
  <si>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</si>
  <si>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</si>
  <si>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</si>
  <si>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</si>
  <si>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</si>
  <si>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</si>
  <si>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</si>
  <si>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</si>
  <si>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</si>
  <si>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</si>
  <si>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</si>
  <si>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</si>
  <si>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</si>
  <si>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</si>
  <si>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</si>
  <si>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</si>
  <si>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</si>
  <si>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</si>
  <si>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</si>
  <si>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</si>
  <si>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</si>
  <si>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</si>
  <si>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</si>
  <si>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</si>
  <si>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</si>
  <si>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</si>
  <si>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</si>
  <si>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</si>
  <si>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</si>
  <si>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</si>
  <si>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</si>
  <si>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</si>
  <si>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</si>
  <si>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</si>
  <si>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</si>
  <si>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</si>
  <si>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</si>
  <si>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</si>
  <si>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</si>
  <si>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</si>
  <si>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</si>
  <si>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</si>
  <si>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</si>
  <si>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</si>
  <si>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</si>
  <si>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 xml:space="preserve">Post Oak Lane and San Felipe Intersection Throughput Enhancements </t>
  </si>
  <si>
    <t>Non Freeway</t>
  </si>
  <si>
    <t xml:space="preserve">Post Oak Lane and San Felipe Intersection </t>
  </si>
  <si>
    <t>Post Oak Lane</t>
  </si>
  <si>
    <t>San Felipe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</si>
</sst>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80" t="s">
        <v>34</v>
      </c>
      <c r="E6" s="181"/>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80" t="s">
        <v>34</v>
      </c>
      <c r="E6" s="181"/>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80" t="s">
        <v>35</v>
      </c>
      <c r="E8" s="181"/>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B16" zoomScaleNormal="100" workbookViewId="0">
      <selection activeCell="C14" sqref="C1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78" t="s">
        <v>281</v>
      </c>
      <c r="D6" s="94"/>
    </row>
    <row r="7" spans="2:19" x14ac:dyDescent="0.25">
      <c r="B7" s="4" t="s">
        <v>117</v>
      </c>
      <c r="C7" s="179" t="s">
        <v>118</v>
      </c>
      <c r="D7" s="64"/>
      <c r="E7" s="4"/>
      <c r="F7" t="s">
        <v>257</v>
      </c>
    </row>
    <row r="8" spans="2:19" x14ac:dyDescent="0.25">
      <c r="B8" s="4" t="s">
        <v>126</v>
      </c>
      <c r="C8" s="179" t="s">
        <v>282</v>
      </c>
      <c r="D8" s="64"/>
      <c r="E8" s="86"/>
      <c r="F8" t="s">
        <v>263</v>
      </c>
    </row>
    <row r="9" spans="2:19" x14ac:dyDescent="0.25">
      <c r="B9" s="4" t="s">
        <v>167</v>
      </c>
      <c r="C9" s="179" t="s">
        <v>283</v>
      </c>
      <c r="D9" s="64"/>
      <c r="E9" s="122"/>
      <c r="F9" t="s">
        <v>268</v>
      </c>
    </row>
    <row r="10" spans="2:19" x14ac:dyDescent="0.25">
      <c r="B10" s="4" t="s">
        <v>114</v>
      </c>
      <c r="C10" s="179" t="s">
        <v>284</v>
      </c>
      <c r="D10" s="64"/>
      <c r="E10" s="9"/>
      <c r="F10" t="s">
        <v>258</v>
      </c>
    </row>
    <row r="11" spans="2:19" x14ac:dyDescent="0.25">
      <c r="B11" s="4" t="s">
        <v>115</v>
      </c>
      <c r="C11" s="179" t="s">
        <v>285</v>
      </c>
      <c r="D11" s="64"/>
    </row>
    <row r="12" spans="2:19" x14ac:dyDescent="0.25">
      <c r="B12" s="4" t="s">
        <v>116</v>
      </c>
      <c r="C12" s="179">
        <v>0.1</v>
      </c>
      <c r="D12" s="95"/>
      <c r="N12" s="182"/>
      <c r="O12" s="182"/>
      <c r="P12" s="182"/>
      <c r="Q12" s="182"/>
      <c r="R12" s="182"/>
      <c r="S12" s="182"/>
    </row>
    <row r="13" spans="2:19" x14ac:dyDescent="0.25">
      <c r="B13" s="4" t="s">
        <v>77</v>
      </c>
      <c r="C13" s="121">
        <v>205</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2024</v>
      </c>
      <c r="D17" s="96"/>
    </row>
    <row r="18" spans="2:13" x14ac:dyDescent="0.25">
      <c r="B18" s="4" t="s">
        <v>259</v>
      </c>
      <c r="C18" s="120" t="s">
        <v>174</v>
      </c>
      <c r="D18" s="26"/>
    </row>
    <row r="19" spans="2:13" x14ac:dyDescent="0.25">
      <c r="B19" s="122" t="s">
        <v>251</v>
      </c>
      <c r="C19" s="174">
        <f>VLOOKUP(C18,'CRF Lookup Table'!C3:F84,2, FALSE)</f>
        <v>519</v>
      </c>
      <c r="D19" s="97"/>
    </row>
    <row r="20" spans="2:13" x14ac:dyDescent="0.25">
      <c r="B20" s="122" t="s">
        <v>102</v>
      </c>
      <c r="C20" s="175">
        <f>VLOOKUP(C18,'CRF Lookup Table'!C3:F84,3, FALSE)</f>
        <v>0.25</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57138</v>
      </c>
      <c r="D25" s="99"/>
      <c r="I25" s="49"/>
    </row>
    <row r="26" spans="2:13" x14ac:dyDescent="0.25">
      <c r="I26" s="49"/>
    </row>
    <row r="27" spans="2:13" x14ac:dyDescent="0.25">
      <c r="B27" s="86" t="s">
        <v>269</v>
      </c>
      <c r="C27" s="87">
        <v>24569</v>
      </c>
      <c r="D27" s="99"/>
      <c r="I27" s="49"/>
    </row>
    <row r="28" spans="2:13" x14ac:dyDescent="0.25">
      <c r="B28" s="86" t="s">
        <v>150</v>
      </c>
      <c r="C28" s="87">
        <v>33208</v>
      </c>
      <c r="D28" s="99"/>
      <c r="I28" s="49"/>
    </row>
    <row r="29" spans="2:13" x14ac:dyDescent="0.25">
      <c r="B29" s="86" t="s">
        <v>270</v>
      </c>
      <c r="C29" s="88">
        <v>25764</v>
      </c>
      <c r="D29" s="69"/>
      <c r="I29" s="49"/>
    </row>
    <row r="30" spans="2:13" x14ac:dyDescent="0.25">
      <c r="B30" s="86" t="s">
        <v>151</v>
      </c>
      <c r="C30" s="88">
        <v>45878</v>
      </c>
      <c r="D30" s="69"/>
      <c r="I30" s="49"/>
    </row>
    <row r="31" spans="2:13" x14ac:dyDescent="0.25">
      <c r="B31" s="86" t="s">
        <v>271</v>
      </c>
      <c r="C31" s="87">
        <v>29180</v>
      </c>
      <c r="D31" s="99"/>
      <c r="H31" s="70"/>
    </row>
    <row r="32" spans="2:13" x14ac:dyDescent="0.25">
      <c r="B32" s="86" t="s">
        <v>152</v>
      </c>
      <c r="C32" s="87">
        <v>45878</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1058.9829649803612</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59511.96640956308</v>
      </c>
      <c r="G4" s="185" t="s">
        <v>260</v>
      </c>
      <c r="H4" s="185"/>
      <c r="I4" s="185"/>
      <c r="J4" s="185"/>
      <c r="L4" s="136"/>
      <c r="M4" s="137">
        <v>2018</v>
      </c>
      <c r="N4" s="138">
        <f>_2018_Volume_ADT</f>
        <v>57138</v>
      </c>
      <c r="O4" s="139" t="s">
        <v>85</v>
      </c>
      <c r="P4" s="140">
        <f>MIN(B12,1)</f>
        <v>0.73985184292941464</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5951.1966409563083</v>
      </c>
      <c r="G5" s="186" t="s">
        <v>261</v>
      </c>
      <c r="H5" s="186"/>
      <c r="I5" s="186"/>
      <c r="J5" s="143">
        <f>SUMPRODUCT(Possible_Crash_Reductions,'Value of Statistical Life'!E5:E11)</f>
        <v>206205.99103947321</v>
      </c>
      <c r="L5" s="136"/>
      <c r="M5" s="144">
        <f t="shared" ref="M5:M36" si="1">M4+1</f>
        <v>2019</v>
      </c>
      <c r="N5" s="145">
        <f>N4+(N4*O5)</f>
        <v>57526.980477263634</v>
      </c>
      <c r="O5" s="146">
        <f t="shared" ref="O5:O11" si="2">IF(ISERROR(_2025_2045_Demand_Growth),_2018_2045_Demand_Growth,_2018_2025_Demand_Growth)</f>
        <v>6.8077370097594514E-3</v>
      </c>
      <c r="P5" s="147">
        <f t="shared" ref="P5:P11" si="3">P4*(1+IFERROR(_2018_2025_V_C_Growth,_2018_2045_V_C_Growth))</f>
        <v>0.71127840724444591</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1547311.1266486403</v>
      </c>
      <c r="L6" s="136"/>
      <c r="M6" s="137">
        <f t="shared" si="1"/>
        <v>2020</v>
      </c>
      <c r="N6" s="145">
        <f t="shared" ref="N6:N36" si="6">N5+(N5*O6)</f>
        <v>57918.60903131841</v>
      </c>
      <c r="O6" s="146">
        <f t="shared" si="2"/>
        <v>6.8077370097594514E-3</v>
      </c>
      <c r="P6" s="147">
        <f t="shared" si="3"/>
        <v>0.68380849145287959</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58312.903689574705</v>
      </c>
      <c r="O7" s="146">
        <f t="shared" si="2"/>
        <v>6.8077370097594514E-3</v>
      </c>
      <c r="P7" s="147">
        <f t="shared" si="3"/>
        <v>0.65739947708318991</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58709.882602168764</v>
      </c>
      <c r="O8" s="146">
        <f t="shared" si="2"/>
        <v>6.8077370097594514E-3</v>
      </c>
      <c r="P8" s="147">
        <f t="shared" si="3"/>
        <v>0.63201039160981531</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6.8077370097594514E-3</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59109.564042798178</v>
      </c>
      <c r="O9" s="146">
        <f t="shared" si="2"/>
        <v>6.8077370097594514E-3</v>
      </c>
      <c r="P9" s="147">
        <f t="shared" si="3"/>
        <v>0.6076018448859305</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6.2446859774571983E-3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59511.96640956308</v>
      </c>
      <c r="O10" s="146">
        <f t="shared" si="2"/>
        <v>6.8077370097594514E-3</v>
      </c>
      <c r="P10" s="147">
        <f t="shared" si="3"/>
        <v>0.58413596803121426</v>
      </c>
      <c r="Q10" s="148">
        <f t="shared" si="4"/>
        <v>1</v>
      </c>
      <c r="R10" s="37">
        <f>IF(M10=Year_Open_to_Traffic?,Calculations!$J$5,Calculations!R9+(Calculations!R9*Calculations!O10*Q10))</f>
        <v>206205.99103947321</v>
      </c>
      <c r="S10" s="54">
        <f t="shared" si="0"/>
        <v>1</v>
      </c>
      <c r="T10" s="37">
        <f t="shared" si="5"/>
        <v>206.20599103947322</v>
      </c>
      <c r="U10" s="142">
        <f>T10/(1+Real_Discount_Rate)^(Calculations!M10-'Assumed Values'!$C$5)</f>
        <v>137.40375863353043</v>
      </c>
    </row>
    <row r="11" spans="1:21" ht="15.75" x14ac:dyDescent="0.25">
      <c r="A11" s="152" t="s">
        <v>107</v>
      </c>
      <c r="B11" s="153">
        <f>(_2045_Peak_Period_Volume/'Inputs &amp; Outputs'!$C$27)^(1/(2045-2018))-1</f>
        <v>6.3906319282547308E-3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59917.108225813026</v>
      </c>
      <c r="O11" s="146">
        <f t="shared" si="2"/>
        <v>6.8077370097594514E-3</v>
      </c>
      <c r="P11" s="147">
        <f t="shared" si="3"/>
        <v>0.56157635467980271</v>
      </c>
      <c r="Q11" s="148">
        <f t="shared" si="4"/>
        <v>1</v>
      </c>
      <c r="R11" s="37">
        <f>IF(M11=Year_Open_to_Traffic?,Calculations!$J$5,Calculations!R10+(Calculations!R10*Calculations!O11*Q11))</f>
        <v>207609.78719630677</v>
      </c>
      <c r="S11" s="54">
        <f t="shared" si="0"/>
        <v>1</v>
      </c>
      <c r="T11" s="37">
        <f t="shared" si="5"/>
        <v>207.60978719630677</v>
      </c>
      <c r="U11" s="142">
        <f>T11/(1+Real_Discount_Rate)^(Calculations!M11-'Assumed Values'!$C$5)</f>
        <v>129.28894138921493</v>
      </c>
    </row>
    <row r="12" spans="1:21" ht="15.75" x14ac:dyDescent="0.25">
      <c r="A12" s="152" t="s">
        <v>75</v>
      </c>
      <c r="B12" s="156">
        <f>'Inputs &amp; Outputs'!C27/_2018_Peak_Period_Capacity</f>
        <v>0.73985184292941464</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60291.271751360546</v>
      </c>
      <c r="O12" s="146">
        <f t="shared" ref="O12:O36" si="7">IFERROR(_2025_2045_Demand_Growth,_2018_2045_Demand_Growth)</f>
        <v>6.2446859774571983E-3</v>
      </c>
      <c r="P12" s="147">
        <f t="shared" ref="P12:P36" si="8">P11*(1+IFERROR(_2025_2040_V_C_Growth,_2018_2045_V_C_Growth))</f>
        <v>0.56508322266714317</v>
      </c>
      <c r="Q12" s="148">
        <f t="shared" si="4"/>
        <v>1</v>
      </c>
      <c r="R12" s="37">
        <f>IF(M12=Year_Open_to_Traffic?,Calculations!$J$5,Calculations!R11+(Calculations!R11*Calculations!O12*Q12))</f>
        <v>208906.24512319441</v>
      </c>
      <c r="S12" s="54">
        <f t="shared" si="0"/>
        <v>1</v>
      </c>
      <c r="T12" s="37">
        <f t="shared" si="5"/>
        <v>208.90624512319442</v>
      </c>
      <c r="U12" s="142">
        <f>T12/(1+Real_Discount_Rate)^(Calculations!M12-'Assumed Values'!$C$5)</f>
        <v>121.58533666219482</v>
      </c>
    </row>
    <row r="13" spans="1:21" ht="15.75" x14ac:dyDescent="0.25">
      <c r="A13" s="152" t="s">
        <v>74</v>
      </c>
      <c r="B13" s="156">
        <f>_2025_Peak_Period_Volume/_2025_Peak_Period_Capacity</f>
        <v>0.56157635467980294</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60667.771810629325</v>
      </c>
      <c r="O13" s="146">
        <f t="shared" si="7"/>
        <v>6.2446859774571983E-3</v>
      </c>
      <c r="P13" s="147">
        <f t="shared" si="8"/>
        <v>0.568611989943829</v>
      </c>
      <c r="Q13" s="148">
        <f t="shared" si="4"/>
        <v>1</v>
      </c>
      <c r="R13" s="37">
        <f>IF(M13=Year_Open_to_Traffic?,Calculations!$J$5,Calculations!R12+(Calculations!R12*Calculations!O13*Q13))</f>
        <v>210210.79902271845</v>
      </c>
      <c r="S13" s="54">
        <f t="shared" si="0"/>
        <v>1</v>
      </c>
      <c r="T13" s="37">
        <f t="shared" si="5"/>
        <v>210.21079902271845</v>
      </c>
      <c r="U13" s="142">
        <f>T13/(1+Real_Discount_Rate)^(Calculations!M13-'Assumed Values'!$C$5)</f>
        <v>114.34074664403141</v>
      </c>
    </row>
    <row r="14" spans="1:21" ht="15.75" x14ac:dyDescent="0.25">
      <c r="A14" s="152" t="s">
        <v>148</v>
      </c>
      <c r="B14" s="156">
        <f>_2045_Peak_Period_Volume/_2045_Peak_Period_Capacity</f>
        <v>0.63603470072801782</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61046.622994538739</v>
      </c>
      <c r="O14" s="146">
        <f t="shared" si="7"/>
        <v>6.2446859774571983E-3</v>
      </c>
      <c r="P14" s="147">
        <f>P13*(1+IFERROR(_2025_2040_V_C_Growth,_2018_2045_V_C_Growth))</f>
        <v>0.57216279326404529</v>
      </c>
      <c r="Q14" s="148">
        <f t="shared" si="4"/>
        <v>1</v>
      </c>
      <c r="R14" s="37">
        <f>IF(M14=Year_Open_to_Traffic?,Calculations!$J$5,Calculations!R13+(Calculations!R13*Calculations!O14*Q14))</f>
        <v>211523.4994516857</v>
      </c>
      <c r="S14" s="54">
        <f t="shared" si="0"/>
        <v>1</v>
      </c>
      <c r="T14" s="37">
        <f t="shared" si="5"/>
        <v>211.52349945168569</v>
      </c>
      <c r="U14" s="142">
        <f>T14/(1+Real_Discount_Rate)^(Calculations!M14-'Assumed Values'!$C$5)</f>
        <v>107.52782121612279</v>
      </c>
    </row>
    <row r="15" spans="1:21" ht="15.75" x14ac:dyDescent="0.25">
      <c r="A15" s="152" t="s">
        <v>80</v>
      </c>
      <c r="B15" s="153">
        <f>(B13/B12)^(1/(2025-2018))-1</f>
        <v>-3.8620483219766411E-2</v>
      </c>
      <c r="L15" s="136"/>
      <c r="M15" s="144">
        <f>M14+1</f>
        <v>2029</v>
      </c>
      <c r="N15" s="145">
        <f t="shared" si="6"/>
        <v>61427.83998512385</v>
      </c>
      <c r="O15" s="146">
        <f t="shared" si="7"/>
        <v>6.2446859774571983E-3</v>
      </c>
      <c r="P15" s="147">
        <f>P14*(1+IFERROR(_2025_2040_V_C_Growth,_2018_2045_V_C_Growth))</f>
        <v>0.57573577023596401</v>
      </c>
      <c r="Q15" s="148">
        <f t="shared" si="4"/>
        <v>1</v>
      </c>
      <c r="R15" s="37">
        <f>IF(M15=Year_Open_to_Traffic?,Calculations!$J$5,Calculations!R14+(Calculations!R14*Calculations!O15*Q15))</f>
        <v>212844.39728261431</v>
      </c>
      <c r="S15" s="54">
        <f t="shared" si="0"/>
        <v>1</v>
      </c>
      <c r="T15" s="37">
        <f t="shared" si="5"/>
        <v>212.84439728261432</v>
      </c>
      <c r="U15" s="142">
        <f>T15/(1+Real_Discount_Rate)^(Calculations!M15-'Assumed Values'!$C$5)</f>
        <v>101.1208399004277</v>
      </c>
    </row>
    <row r="16" spans="1:21" ht="15.75" x14ac:dyDescent="0.25">
      <c r="A16" s="152" t="s">
        <v>108</v>
      </c>
      <c r="B16" s="153">
        <f>(B14/B13)^(1/(2045-2025))-1</f>
        <v>6.2446859774571983E-3</v>
      </c>
      <c r="D16" s="157" t="s">
        <v>136</v>
      </c>
      <c r="E16" s="151"/>
      <c r="L16" s="136"/>
      <c r="M16" s="137">
        <f t="shared" si="1"/>
        <v>2030</v>
      </c>
      <c r="N16" s="145">
        <f t="shared" si="6"/>
        <v>61811.437556104436</v>
      </c>
      <c r="O16" s="146">
        <f t="shared" si="7"/>
        <v>6.2446859774571983E-3</v>
      </c>
      <c r="P16" s="147">
        <f t="shared" si="8"/>
        <v>0.57933105932707707</v>
      </c>
      <c r="Q16" s="148">
        <f t="shared" si="4"/>
        <v>1</v>
      </c>
      <c r="R16" s="37">
        <f>IF(M16=Year_Open_to_Traffic?,Calculations!$J$5,Calculations!R15+(Calculations!R15*Calculations!O16*Q16))</f>
        <v>214173.54370570538</v>
      </c>
      <c r="S16" s="54">
        <f t="shared" si="0"/>
        <v>1</v>
      </c>
      <c r="T16" s="37">
        <f t="shared" si="5"/>
        <v>214.17354370570538</v>
      </c>
      <c r="U16" s="142">
        <f>T16/(1+Real_Discount_Rate)^(Calculations!M16-'Assumed Values'!$C$5)</f>
        <v>95.095614758301494</v>
      </c>
    </row>
    <row r="17" spans="1:21" ht="15.75" x14ac:dyDescent="0.25">
      <c r="A17" s="152" t="s">
        <v>109</v>
      </c>
      <c r="B17" s="153">
        <f>(B14/B12)^(1/(2045-2018))-1</f>
        <v>-5.5842325190115227E-3</v>
      </c>
      <c r="D17" s="152" t="s">
        <v>89</v>
      </c>
      <c r="E17" s="158">
        <f>($E$6*Death_Rate)/100000000</f>
        <v>2.7009463123888945E-2</v>
      </c>
      <c r="L17" s="136"/>
      <c r="M17" s="144">
        <f t="shared" si="1"/>
        <v>2031</v>
      </c>
      <c r="N17" s="145">
        <f t="shared" si="6"/>
        <v>62197.43057345751</v>
      </c>
      <c r="O17" s="146">
        <f t="shared" si="7"/>
        <v>6.2446859774571983E-3</v>
      </c>
      <c r="P17" s="147">
        <f t="shared" si="8"/>
        <v>0.58294879986956227</v>
      </c>
      <c r="Q17" s="148">
        <f t="shared" si="4"/>
        <v>1</v>
      </c>
      <c r="R17" s="37">
        <f>IF(M17=Year_Open_to_Traffic?,Calculations!$J$5,Calculations!R16+(Calculations!R16*Calculations!O17*Q17))</f>
        <v>215510.99023082672</v>
      </c>
      <c r="S17" s="54">
        <f t="shared" si="0"/>
        <v>1</v>
      </c>
      <c r="T17" s="37">
        <f t="shared" si="5"/>
        <v>215.51099023082671</v>
      </c>
      <c r="U17" s="142">
        <f>T17/(1+Real_Discount_Rate)^(Calculations!M17-'Assumed Values'!$C$5)</f>
        <v>89.42939907504703</v>
      </c>
    </row>
    <row r="18" spans="1:21" ht="15.75" x14ac:dyDescent="0.25">
      <c r="D18" s="152" t="s">
        <v>94</v>
      </c>
      <c r="E18" s="158">
        <f>($E$6*Incap_Injry_Rate)/100000000</f>
        <v>0.13652847972623866</v>
      </c>
      <c r="L18" s="136"/>
      <c r="M18" s="137">
        <f t="shared" si="1"/>
        <v>2032</v>
      </c>
      <c r="N18" s="145">
        <f t="shared" si="6"/>
        <v>62585.833995993446</v>
      </c>
      <c r="O18" s="146">
        <f t="shared" si="7"/>
        <v>6.2446859774571983E-3</v>
      </c>
      <c r="P18" s="147">
        <f t="shared" si="8"/>
        <v>0.58658913206568319</v>
      </c>
      <c r="Q18" s="148">
        <f t="shared" si="4"/>
        <v>1</v>
      </c>
      <c r="R18" s="37">
        <f>IF(M18=Year_Open_to_Traffic?,Calculations!$J$5,Calculations!R17+(Calculations!R17*Calculations!O18*Q18))</f>
        <v>216856.78868950909</v>
      </c>
      <c r="S18" s="54">
        <f t="shared" si="0"/>
        <v>1</v>
      </c>
      <c r="T18" s="37">
        <f t="shared" si="5"/>
        <v>216.8567886895091</v>
      </c>
      <c r="U18" s="142">
        <f>T18/(1+Real_Discount_Rate)^(Calculations!M18-'Assumed Values'!$C$5)</f>
        <v>84.100801485442446</v>
      </c>
    </row>
    <row r="19" spans="1:21" ht="15.75" x14ac:dyDescent="0.25">
      <c r="D19" s="152" t="s">
        <v>93</v>
      </c>
      <c r="E19" s="158">
        <f>($E$6*Nonincap_Injry_Rate)/100000000</f>
        <v>0.77029246283323272</v>
      </c>
      <c r="L19" s="136"/>
      <c r="M19" s="144">
        <f t="shared" si="1"/>
        <v>2033</v>
      </c>
      <c r="N19" s="145">
        <f t="shared" si="6"/>
        <v>62976.66287593569</v>
      </c>
      <c r="O19" s="146">
        <f t="shared" si="7"/>
        <v>6.2446859774571983E-3</v>
      </c>
      <c r="P19" s="147">
        <f t="shared" si="8"/>
        <v>0.59025219699322251</v>
      </c>
      <c r="Q19" s="148">
        <f t="shared" si="4"/>
        <v>1</v>
      </c>
      <c r="R19" s="37">
        <f>IF(M19=Year_Open_to_Traffic?,Calculations!$J$5,Calculations!R18+(Calculations!R18*Calculations!O19*Q19))</f>
        <v>218210.99123695487</v>
      </c>
      <c r="S19" s="54">
        <f t="shared" si="0"/>
        <v>1</v>
      </c>
      <c r="T19" s="37">
        <f t="shared" si="5"/>
        <v>218.21099123695487</v>
      </c>
      <c r="U19" s="142">
        <f>T19/(1+Real_Discount_Rate)^(Calculations!M19-'Assumed Values'!$C$5)</f>
        <v>79.089705216048117</v>
      </c>
    </row>
    <row r="20" spans="1:21" ht="15.75" x14ac:dyDescent="0.25">
      <c r="D20" s="152" t="s">
        <v>92</v>
      </c>
      <c r="E20" s="158">
        <f>($E$6*Poss_Injry_Rate/100000000)</f>
        <v>1.9229866471204933</v>
      </c>
      <c r="L20" s="136"/>
      <c r="M20" s="137">
        <f t="shared" si="1"/>
        <v>2034</v>
      </c>
      <c r="N20" s="145">
        <f t="shared" si="6"/>
        <v>63369.932359504091</v>
      </c>
      <c r="O20" s="146">
        <f t="shared" si="7"/>
        <v>6.2446859774571983E-3</v>
      </c>
      <c r="P20" s="147">
        <f t="shared" si="8"/>
        <v>0.59393813661094941</v>
      </c>
      <c r="Q20" s="148">
        <f t="shared" si="4"/>
        <v>1</v>
      </c>
      <c r="R20" s="37">
        <f>IF(M20=Year_Open_to_Traffic?,Calculations!$J$5,Calculations!R19+(Calculations!R19*Calculations!O20*Q20))</f>
        <v>219573.65035405933</v>
      </c>
      <c r="S20" s="54">
        <f t="shared" si="0"/>
        <v>0</v>
      </c>
      <c r="T20" s="37">
        <f t="shared" si="5"/>
        <v>0</v>
      </c>
      <c r="U20" s="142">
        <f>T20/(1+Real_Discount_Rate)^(Calculations!M20-'Assumed Values'!$C$5)</f>
        <v>0</v>
      </c>
    </row>
    <row r="21" spans="1:21" ht="15.75" x14ac:dyDescent="0.25">
      <c r="D21" s="152" t="s">
        <v>91</v>
      </c>
      <c r="E21" s="158">
        <f>($E$6*Non_Injry_Rate)/100000000</f>
        <v>14.910791935793892</v>
      </c>
      <c r="L21" s="136"/>
      <c r="M21" s="144">
        <f>M20+1</f>
        <v>2035</v>
      </c>
      <c r="N21" s="145">
        <f t="shared" si="6"/>
        <v>63765.657687501895</v>
      </c>
      <c r="O21" s="146">
        <f t="shared" si="7"/>
        <v>6.2446859774571983E-3</v>
      </c>
      <c r="P21" s="147">
        <f>P20*(1+IFERROR(_2025_2040_V_C_Growth,_2018_2045_V_C_Growth))</f>
        <v>0.59764709376412084</v>
      </c>
      <c r="Q21" s="148">
        <f t="shared" si="4"/>
        <v>1</v>
      </c>
      <c r="R21" s="37">
        <f>IF(M21=Year_Open_to_Traffic?,Calculations!$J$5,Calculations!R20+(Calculations!R20*Calculations!O21*Q21))</f>
        <v>220944.81884944442</v>
      </c>
      <c r="S21" s="54">
        <f t="shared" si="0"/>
        <v>0</v>
      </c>
      <c r="T21" s="37">
        <f t="shared" si="5"/>
        <v>0</v>
      </c>
      <c r="U21" s="142">
        <f>T21/(1+Real_Discount_Rate)^(Calculations!M21-'Assumed Values'!$C$5)</f>
        <v>0</v>
      </c>
    </row>
    <row r="22" spans="1:21" ht="15.75" x14ac:dyDescent="0.25">
      <c r="D22" s="152" t="s">
        <v>90</v>
      </c>
      <c r="E22" s="158">
        <f>($E$6*Unkn_Injry_Rate)/100000000</f>
        <v>1.2938404109346802</v>
      </c>
      <c r="L22" s="136"/>
      <c r="M22" s="137">
        <f>M21+1</f>
        <v>2036</v>
      </c>
      <c r="N22" s="145">
        <f t="shared" si="6"/>
        <v>64163.854195906373</v>
      </c>
      <c r="O22" s="146">
        <f t="shared" si="7"/>
        <v>6.2446859774571983E-3</v>
      </c>
      <c r="P22" s="147">
        <f t="shared" si="8"/>
        <v>0.60137921219001766</v>
      </c>
      <c r="Q22" s="148">
        <f t="shared" si="4"/>
        <v>1</v>
      </c>
      <c r="R22" s="37">
        <f>IF(M22=Year_Open_to_Traffic?,Calculations!$J$5,Calculations!R21+(Calculations!R21*Calculations!O22*Q22))</f>
        <v>222324.54986150537</v>
      </c>
      <c r="S22" s="54">
        <f t="shared" si="0"/>
        <v>0</v>
      </c>
      <c r="T22" s="37">
        <f t="shared" si="5"/>
        <v>0</v>
      </c>
      <c r="U22" s="142">
        <f>T22/(1+Real_Discount_Rate)^(Calculations!M22-'Assumed Values'!$C$5)</f>
        <v>0</v>
      </c>
    </row>
    <row r="23" spans="1:21" ht="15.75" x14ac:dyDescent="0.25">
      <c r="L23" s="136"/>
      <c r="M23" s="144">
        <f t="shared" si="1"/>
        <v>2037</v>
      </c>
      <c r="N23" s="145">
        <f t="shared" si="6"/>
        <v>64564.53731646316</v>
      </c>
      <c r="O23" s="146">
        <f t="shared" si="7"/>
        <v>6.2446859774571983E-3</v>
      </c>
      <c r="P23" s="147">
        <f t="shared" si="8"/>
        <v>0.60513463652351496</v>
      </c>
      <c r="Q23" s="148">
        <f t="shared" si="4"/>
        <v>1</v>
      </c>
      <c r="R23" s="37">
        <f>IF(M23=Year_Open_to_Traffic?,Calculations!$J$5,Calculations!R22+(Calculations!R22*Calculations!O23*Q23))</f>
        <v>223712.89686047001</v>
      </c>
      <c r="S23" s="54">
        <f t="shared" si="0"/>
        <v>0</v>
      </c>
      <c r="T23" s="37">
        <f t="shared" si="5"/>
        <v>0</v>
      </c>
      <c r="U23" s="142">
        <f>T23/(1+Real_Discount_Rate)^(Calculations!M23-'Assumed Values'!$C$5)</f>
        <v>0</v>
      </c>
    </row>
    <row r="24" spans="1:21" ht="15.75" x14ac:dyDescent="0.25">
      <c r="L24" s="136"/>
      <c r="M24" s="137">
        <f t="shared" si="1"/>
        <v>2038</v>
      </c>
      <c r="N24" s="145">
        <f t="shared" si="6"/>
        <v>64967.722577284287</v>
      </c>
      <c r="O24" s="146">
        <f t="shared" si="7"/>
        <v>6.2446859774571983E-3</v>
      </c>
      <c r="P24" s="147">
        <f t="shared" si="8"/>
        <v>0.60891351230268698</v>
      </c>
      <c r="Q24" s="148">
        <f t="shared" si="4"/>
        <v>1</v>
      </c>
      <c r="R24" s="37">
        <f>IF(M24=Year_Open_to_Traffic?,Calculations!$J$5,Calculations!R23+(Calculations!R23*Calculations!O24*Q24))</f>
        <v>225109.9136504709</v>
      </c>
      <c r="S24" s="54">
        <f t="shared" si="0"/>
        <v>0</v>
      </c>
      <c r="T24" s="37">
        <f t="shared" si="5"/>
        <v>0</v>
      </c>
      <c r="U24" s="142">
        <f>T24/(1+Real_Discount_Rate)^(Calculations!M24-'Assumed Values'!$C$5)</f>
        <v>0</v>
      </c>
    </row>
    <row r="25" spans="1:21" ht="15.75" x14ac:dyDescent="0.25">
      <c r="A25" s="183" t="s">
        <v>99</v>
      </c>
      <c r="B25" s="183"/>
      <c r="D25" s="159" t="s">
        <v>89</v>
      </c>
      <c r="E25" s="159" t="s">
        <v>94</v>
      </c>
      <c r="F25" s="159" t="s">
        <v>93</v>
      </c>
      <c r="G25" s="159" t="s">
        <v>92</v>
      </c>
      <c r="H25" s="159" t="s">
        <v>91</v>
      </c>
      <c r="I25" s="159" t="s">
        <v>90</v>
      </c>
      <c r="J25" s="184" t="s">
        <v>100</v>
      </c>
      <c r="L25" s="136"/>
      <c r="M25" s="144">
        <f t="shared" si="1"/>
        <v>2039</v>
      </c>
      <c r="N25" s="145">
        <f t="shared" si="6"/>
        <v>65373.425603449985</v>
      </c>
      <c r="O25" s="146">
        <f t="shared" si="7"/>
        <v>6.2446859774571983E-3</v>
      </c>
      <c r="P25" s="147">
        <f t="shared" si="8"/>
        <v>0.61271598597444776</v>
      </c>
      <c r="Q25" s="148">
        <f t="shared" si="4"/>
        <v>1</v>
      </c>
      <c r="R25" s="37">
        <f>IF(M25=Year_Open_to_Traffic?,Calculations!$J$5,Calculations!R24+(Calculations!R24*Calculations!O25*Q25))</f>
        <v>226515.6543716306</v>
      </c>
      <c r="S25" s="54">
        <f t="shared" si="0"/>
        <v>0</v>
      </c>
      <c r="T25" s="37">
        <f t="shared" si="5"/>
        <v>0</v>
      </c>
      <c r="U25" s="142">
        <f>T25/(1+Real_Discount_Rate)^(Calculations!M25-'Assumed Values'!$C$5)</f>
        <v>0</v>
      </c>
    </row>
    <row r="26" spans="1:21" ht="15.75" x14ac:dyDescent="0.25">
      <c r="A26" s="183"/>
      <c r="B26" s="183"/>
      <c r="D26" s="160">
        <f>Calculations!E17</f>
        <v>2.7009463123888945E-2</v>
      </c>
      <c r="E26" s="160">
        <f>Calculations!E18</f>
        <v>0.13652847972623866</v>
      </c>
      <c r="F26" s="160">
        <f>Calculations!E19</f>
        <v>0.77029246283323272</v>
      </c>
      <c r="G26" s="160">
        <f>Calculations!E20</f>
        <v>1.9229866471204933</v>
      </c>
      <c r="H26" s="160">
        <f>Calculations!E21</f>
        <v>14.910791935793892</v>
      </c>
      <c r="I26" s="160">
        <f>Calculations!E22</f>
        <v>1.2938404109346802</v>
      </c>
      <c r="J26" s="184"/>
      <c r="L26" s="136"/>
      <c r="M26" s="137">
        <f t="shared" si="1"/>
        <v>2040</v>
      </c>
      <c r="N26" s="145">
        <f t="shared" si="6"/>
        <v>65781.662117614193</v>
      </c>
      <c r="O26" s="146">
        <f t="shared" si="7"/>
        <v>6.2446859774571983E-3</v>
      </c>
      <c r="P26" s="147">
        <f t="shared" si="8"/>
        <v>0.61654220490022626</v>
      </c>
      <c r="Q26" s="148">
        <f t="shared" si="4"/>
        <v>1</v>
      </c>
      <c r="R26" s="37">
        <f>IF(M26=Year_Open_to_Traffic?,Calculations!$J$5,Calculations!R25+(Calculations!R25*Calculations!O26*Q26))</f>
        <v>227930.17350215965</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1.1731209620477055E-3</v>
      </c>
      <c r="F27" s="163">
        <f>F$26*'Value of Statistical Life'!F17*Appropriate_Crash_Reduction_Factor</f>
        <v>1.6074077968172486E-2</v>
      </c>
      <c r="G27" s="163">
        <f>G$26*'Value of Statistical Life'!G17*Appropriate_Crash_Reduction_Factor</f>
        <v>0.1126725951214075</v>
      </c>
      <c r="H27" s="163">
        <f>H$26*'Value of Statistical Life'!H17*Appropriate_Crash_Reduction_Factor</f>
        <v>3.4493880524668801</v>
      </c>
      <c r="I27" s="163">
        <f>I$26*'Value of Statistical Life'!I17*Appropriate_Crash_Reduction_Factor</f>
        <v>0.14127443446995772</v>
      </c>
      <c r="J27" s="163">
        <f t="shared" ref="J27:J33" si="9">SUM(D27:I27)</f>
        <v>3.7205822809884657</v>
      </c>
      <c r="K27" s="164"/>
      <c r="L27" s="136"/>
      <c r="M27" s="144">
        <f t="shared" si="1"/>
        <v>2041</v>
      </c>
      <c r="N27" s="145">
        <f t="shared" si="6"/>
        <v>66192.447940613885</v>
      </c>
      <c r="O27" s="146">
        <f t="shared" si="7"/>
        <v>6.2446859774571983E-3</v>
      </c>
      <c r="P27" s="147">
        <f t="shared" si="8"/>
        <v>0.62039231736167721</v>
      </c>
      <c r="Q27" s="148">
        <f t="shared" si="4"/>
        <v>1</v>
      </c>
      <c r="R27" s="37">
        <f>IF(M27=Year_Open_to_Traffic?,Calculations!$J$5,Calculations!R26+(Calculations!R26*Calculations!O27*Q27))</f>
        <v>229353.52586046798</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1.8925919180850521E-2</v>
      </c>
      <c r="F28" s="163">
        <f>F$26*'Value of Statistical Life'!F18*Appropriate_Crash_Reduction_Factor</f>
        <v>0.14797895930373525</v>
      </c>
      <c r="G28" s="163">
        <f>G$26*'Value of Statistical Life'!G18*Appropriate_Crash_Reduction_Factor</f>
        <v>0.33145559343092379</v>
      </c>
      <c r="H28" s="163">
        <f>H$26*'Value of Statistical Life'!H18*Appropriate_Crash_Reduction_Factor</f>
        <v>0.27051904269514065</v>
      </c>
      <c r="I28" s="163">
        <f>I$26*'Value of Statistical Life'!I18*Appropriate_Crash_Reduction_Factor</f>
        <v>0.13500901228000653</v>
      </c>
      <c r="J28" s="163">
        <f t="shared" si="9"/>
        <v>0.90388852689065668</v>
      </c>
      <c r="K28" s="164"/>
      <c r="L28" s="136"/>
      <c r="M28" s="137">
        <f t="shared" si="1"/>
        <v>2042</v>
      </c>
      <c r="N28" s="145">
        <f t="shared" si="6"/>
        <v>66605.7989920822</v>
      </c>
      <c r="O28" s="146">
        <f t="shared" si="7"/>
        <v>6.2446859774571983E-3</v>
      </c>
      <c r="P28" s="147">
        <f t="shared" si="8"/>
        <v>0.62426647256642787</v>
      </c>
      <c r="Q28" s="148">
        <f t="shared" si="4"/>
        <v>1</v>
      </c>
      <c r="R28" s="37">
        <f>IF(M28=Year_Open_to_Traffic?,Calculations!$J$5,Calculations!R27+(Calculations!R27*Calculations!O28*Q28))</f>
        <v>230785.7666072892</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7.1363436352904945E-3</v>
      </c>
      <c r="F29" s="163">
        <f>F$26*'Value of Statistical Life'!F19*Appropriate_Crash_Reduction_Factor</f>
        <v>2.0986618149891424E-2</v>
      </c>
      <c r="G29" s="163">
        <f>G$26*'Value of Statistical Life'!G19*Appropriate_Crash_Reduction_Factor</f>
        <v>3.0724519154367677E-2</v>
      </c>
      <c r="H29" s="163">
        <f>H$26*'Value of Statistical Life'!H19*Appropriate_Crash_Reduction_Factor</f>
        <v>7.3808420082179761E-3</v>
      </c>
      <c r="I29" s="163">
        <f>I$26*'Value of Statistical Life'!I19*Appropriate_Crash_Reduction_Factor</f>
        <v>2.8697380314531205E-2</v>
      </c>
      <c r="J29" s="163">
        <f t="shared" si="9"/>
        <v>9.492570326229878E-2</v>
      </c>
      <c r="K29" s="164"/>
      <c r="L29" s="136"/>
      <c r="M29" s="144">
        <f t="shared" si="1"/>
        <v>2043</v>
      </c>
      <c r="N29" s="145">
        <f t="shared" si="6"/>
        <v>67021.731291065385</v>
      </c>
      <c r="O29" s="146">
        <f t="shared" si="7"/>
        <v>6.2446859774571983E-3</v>
      </c>
      <c r="P29" s="147">
        <f t="shared" si="8"/>
        <v>0.62816482065386015</v>
      </c>
      <c r="Q29" s="148">
        <f t="shared" si="4"/>
        <v>1</v>
      </c>
      <c r="R29" s="37">
        <f>IF(M29=Year_Open_to_Traffic?,Calculations!$J$5,Calculations!R28+(Calculations!R28*Calculations!O29*Q29))</f>
        <v>232226.95124781845</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4.927654154519269E-3</v>
      </c>
      <c r="F30" s="163">
        <f>F$26*'Value of Statistical Life'!F20*Appropriate_Crash_Reduction_Factor</f>
        <v>6.1450081222521142E-3</v>
      </c>
      <c r="G30" s="163">
        <f>G$26*'Value of Statistical Life'!G20*Appropriate_Crash_Reduction_Factor</f>
        <v>5.1487967476651214E-3</v>
      </c>
      <c r="H30" s="163">
        <f>H$26*'Value of Statistical Life'!H20*Appropriate_Crash_Reduction_Factor</f>
        <v>2.9821583871587784E-4</v>
      </c>
      <c r="I30" s="163">
        <f>I$26*'Value of Statistical Life'!I20*Appropriate_Crash_Reduction_Factor</f>
        <v>1.5581073148680884E-2</v>
      </c>
      <c r="J30" s="163">
        <f t="shared" si="9"/>
        <v>3.2100748011833269E-2</v>
      </c>
      <c r="K30" s="164"/>
      <c r="L30" s="136"/>
      <c r="M30" s="144">
        <f t="shared" si="1"/>
        <v>2044</v>
      </c>
      <c r="N30" s="145">
        <f t="shared" si="6"/>
        <v>67440.2609566436</v>
      </c>
      <c r="O30" s="146">
        <f t="shared" si="7"/>
        <v>6.2446859774571983E-3</v>
      </c>
      <c r="P30" s="147">
        <f t="shared" si="8"/>
        <v>0.63208751270092922</v>
      </c>
      <c r="Q30" s="148">
        <f t="shared" si="4"/>
        <v>1</v>
      </c>
      <c r="R30" s="37">
        <f>IF(M30=Year_Open_to_Traffic?,Calculations!$J$5,Calculations!R29+(Calculations!R29*Calculations!O30*Q30))</f>
        <v>233677.13563386333</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1.3605063004719683E-3</v>
      </c>
      <c r="F31" s="163">
        <f>F$26*'Value of Statistical Life'!F21*Appropriate_Crash_Reduction_Factor</f>
        <v>1.1939533173915106E-3</v>
      </c>
      <c r="G31" s="163">
        <f>G$26*'Value of Statistical Life'!G21*Appropriate_Crash_Reduction_Factor</f>
        <v>6.8266025972777518E-4</v>
      </c>
      <c r="H31" s="163">
        <f>H$26*'Value of Statistical Life'!H21*Appropriate_Crash_Reduction_Factor</f>
        <v>0</v>
      </c>
      <c r="I31" s="163">
        <f>I$26*'Value of Statistical Life'!I21*Appropriate_Crash_Reduction_Factor</f>
        <v>1.9957488338667442E-3</v>
      </c>
      <c r="J31" s="163">
        <f t="shared" si="9"/>
        <v>5.2328687114579983E-3</v>
      </c>
      <c r="K31" s="164"/>
      <c r="L31" s="136"/>
      <c r="M31" s="144">
        <f t="shared" si="1"/>
        <v>2045</v>
      </c>
      <c r="N31" s="145">
        <f t="shared" si="6"/>
        <v>67861.404208555614</v>
      </c>
      <c r="O31" s="146">
        <f t="shared" si="7"/>
        <v>6.2446859774571983E-3</v>
      </c>
      <c r="P31" s="147">
        <f t="shared" si="8"/>
        <v>0.63603470072801849</v>
      </c>
      <c r="Q31" s="148">
        <f t="shared" si="4"/>
        <v>1</v>
      </c>
      <c r="R31" s="37">
        <f>IF(M31=Year_Open_to_Traffic?,Calculations!$J$5,Calculations!R30+(Calculations!R30*Calculations!O31*Q31))</f>
        <v>235136.37596600849</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6.0857569837970875E-4</v>
      </c>
      <c r="F32" s="163">
        <f>F$26*'Value of Statistical Life'!F22*Appropriate_Crash_Reduction_Factor</f>
        <v>1.9449884686539127E-4</v>
      </c>
      <c r="G32" s="163">
        <f>G$26*'Value of Statistical Life'!G22*Appropriate_Crash_Reduction_Factor</f>
        <v>6.249706603141602E-5</v>
      </c>
      <c r="H32" s="163">
        <f>H$26*'Value of Statistical Life'!H22*Appropriate_Crash_Reduction_Factor</f>
        <v>1.118309395184542E-4</v>
      </c>
      <c r="I32" s="163">
        <f>I$26*'Value of Statistical Life'!I22*Appropriate_Crash_Reduction_Factor</f>
        <v>9.0245368662693944E-4</v>
      </c>
      <c r="J32" s="163">
        <f t="shared" si="9"/>
        <v>1.8798562374219097E-3</v>
      </c>
      <c r="K32" s="164"/>
      <c r="L32" s="136"/>
      <c r="M32" s="144">
        <f t="shared" si="1"/>
        <v>2046</v>
      </c>
      <c r="N32" s="145">
        <f t="shared" si="6"/>
        <v>68285.177367827331</v>
      </c>
      <c r="O32" s="146">
        <f t="shared" si="7"/>
        <v>6.2446859774571983E-3</v>
      </c>
      <c r="P32" s="147">
        <f t="shared" si="8"/>
        <v>0.64000653770483096</v>
      </c>
      <c r="Q32" s="148">
        <f t="shared" si="4"/>
        <v>1</v>
      </c>
      <c r="R32" s="37">
        <f>IF(M32=Year_Open_to_Traffic?,Calculations!$J$5,Calculations!R31+(Calculations!R31*Calculations!O32*Q32))</f>
        <v>236604.72879579352</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6.7523657809722363E-3</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6.7523657809722363E-3</v>
      </c>
      <c r="K33" s="164"/>
      <c r="L33" s="136"/>
      <c r="M33" s="144">
        <f t="shared" si="1"/>
        <v>2047</v>
      </c>
      <c r="N33" s="145">
        <f t="shared" si="6"/>
        <v>68711.59685740438</v>
      </c>
      <c r="O33" s="146">
        <f t="shared" si="7"/>
        <v>6.2446859774571983E-3</v>
      </c>
      <c r="P33" s="147">
        <f t="shared" si="8"/>
        <v>0.6440031775563172</v>
      </c>
      <c r="Q33" s="148">
        <f t="shared" si="4"/>
        <v>1</v>
      </c>
      <c r="R33" s="37">
        <f>IF(M33=Year_Open_to_Traffic?,Calculations!$J$5,Calculations!R32+(Calculations!R32*Calculations!O33*Q33))</f>
        <v>238082.25102790468</v>
      </c>
      <c r="S33" s="54">
        <f t="shared" si="0"/>
        <v>0</v>
      </c>
      <c r="T33" s="37">
        <f t="shared" si="5"/>
        <v>0</v>
      </c>
      <c r="U33" s="142">
        <f>T33/(1+Real_Discount_Rate)^(Calculations!M33-'Assumed Values'!$C$5)</f>
        <v>0</v>
      </c>
    </row>
    <row r="34" spans="1:21" ht="15.75" x14ac:dyDescent="0.25">
      <c r="J34" s="166"/>
      <c r="L34" s="136"/>
      <c r="M34" s="144">
        <f t="shared" si="1"/>
        <v>2048</v>
      </c>
      <c r="N34" s="145">
        <f t="shared" si="6"/>
        <v>69140.679202788509</v>
      </c>
      <c r="O34" s="146">
        <f t="shared" si="7"/>
        <v>6.2446859774571983E-3</v>
      </c>
      <c r="P34" s="147">
        <f t="shared" si="8"/>
        <v>0.64802477516864099</v>
      </c>
      <c r="Q34" s="148">
        <f t="shared" si="4"/>
        <v>1</v>
      </c>
      <c r="R34" s="37">
        <f>IF(M34=Year_Open_to_Traffic?,Calculations!$J$5,Calculations!R33+(Calculations!R33*Calculations!O34*Q34))</f>
        <v>239568.99992238008</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69572.441032678034</v>
      </c>
      <c r="O35" s="146">
        <f t="shared" si="7"/>
        <v>6.2446859774571983E-3</v>
      </c>
      <c r="P35" s="147">
        <f t="shared" si="8"/>
        <v>0.65207148639518142</v>
      </c>
      <c r="Q35" s="148">
        <f t="shared" si="4"/>
        <v>1</v>
      </c>
      <c r="R35" s="37">
        <f>IF(M35=Year_Open_to_Traffic?,Calculations!$J$5,Calculations!R34+(Calculations!R34*Calculations!O35*Q35))</f>
        <v>241065.03309682882</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70006.899079612267</v>
      </c>
      <c r="O36" s="146">
        <f t="shared" si="7"/>
        <v>6.2446859774571983E-3</v>
      </c>
      <c r="P36" s="147">
        <f t="shared" si="8"/>
        <v>0.65614346806257307</v>
      </c>
      <c r="Q36" s="148">
        <f t="shared" si="4"/>
        <v>1</v>
      </c>
      <c r="R36" s="37">
        <f>IF(M36=Year_Open_to_Traffic?,Calculations!$J$5,Calculations!R35+(Calculations!R35*Calculations!O36*Q36))</f>
        <v>242570.40852866383</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1058.9829649803612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7" t="s">
        <v>73</v>
      </c>
      <c r="C12" s="188"/>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9"/>
      <c r="T12" s="189"/>
      <c r="U12" s="189"/>
      <c r="V12" s="189"/>
      <c r="W12" s="189"/>
      <c r="X12" s="189"/>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9"/>
      <c r="T26" s="189"/>
      <c r="U26" s="189"/>
      <c r="V26" s="189"/>
      <c r="W26" s="189"/>
      <c r="X26" s="189"/>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90" t="s">
        <v>97</v>
      </c>
      <c r="C24" s="190"/>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2018-10-25T00:17:03Z</dcterms:modified>
</cp:coreProperties>
</file>