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126"/>
  <workbookPr defaultThemeVersion="124226"/>
  <mc:AlternateContent xmlns:mc="http://schemas.openxmlformats.org/markup-compatibility/2006">
    <mc:Choice Requires="x15">
      <x15ac:absPath xmlns:x15ac="http://schemas.microsoft.com/office/spreadsheetml/2010/11/ac" url="https://emailatg2.sharepoint.com/sites/HGACCall4Projects/Project Documents/Projects/HOU Highway/HOU_40_HW_SH288/"/>
    </mc:Choice>
  </mc:AlternateContent>
  <xr:revisionPtr revIDLastSave="0" documentId="10_ncr:100000_{21D27DCB-3528-4487-9A3A-D9A7CF7A60BF}" xr6:coauthVersionLast="31" xr6:coauthVersionMax="40" xr10:uidLastSave="{00000000-0000-0000-0000-000000000000}"/>
  <bookViews>
    <workbookView xWindow="0" yWindow="0" windowWidth="21570" windowHeight="10215" tabRatio="763" firstSheet="3" activeTab="3" xr2:uid="{00000000-000D-0000-FFFF-FFFF00000000}"/>
  </bookViews>
  <sheets>
    <sheet name="Instructions" sheetId="8" r:id="rId1"/>
    <sheet name="ITS Delay Worksheet" sheetId="7" state="hidden" r:id="rId2"/>
    <sheet name="Emissions Reduction Worksheet" sheetId="5" state="hidden" r:id="rId3"/>
    <sheet name="Inputs &amp; Outputs" sheetId="11" r:id="rId4"/>
    <sheet name="Calculations" sheetId="12" r:id="rId5"/>
  </sheets>
  <definedNames>
    <definedName name="_2018_2025_Demand_Growth">Calculations!#REF!</definedName>
    <definedName name="_2018_2025_V_C_Growth">Calculations!#REF!</definedName>
    <definedName name="_2018_2045_Demand_Growth">Calculations!#REF!</definedName>
    <definedName name="_2018_2045_V_C_Growth">Calculations!#REF!</definedName>
    <definedName name="_2018_Capacity">'Inputs &amp; Outputs'!#REF!</definedName>
    <definedName name="_2018_V_C_Ratio">Calculations!#REF!</definedName>
    <definedName name="_2018_Volume">'Inputs &amp; Outputs'!#REF!</definedName>
    <definedName name="_2025_2045_Demand_Growth">Calculations!#REF!</definedName>
    <definedName name="_2025_2045_V_C_Growth">Calculations!#REF!</definedName>
    <definedName name="_2025_Capacity">'Inputs &amp; Outputs'!#REF!</definedName>
    <definedName name="_2025_V_C_Ratio">Calculations!#REF!</definedName>
    <definedName name="_2025_Volume">'Inputs &amp; Outputs'!#REF!</definedName>
    <definedName name="_2045_Capacity">'Inputs &amp; Outputs'!#REF!</definedName>
    <definedName name="_2045_V_C_Ratio">Calculations!#REF!</definedName>
    <definedName name="_2045_Volume">'Inputs &amp; Outputs'!#REF!</definedName>
    <definedName name="Annual_Days_of_Travel">Calculations!#REF!</definedName>
    <definedName name="Application_ID_Number">'Inputs &amp; Outputs'!$B$7</definedName>
    <definedName name="Base_Year">Calculations!#REF!</definedName>
    <definedName name="Discount_Rate">Calculations!#REF!</definedName>
    <definedName name="Name">'Inputs &amp; Outputs'!$B$6</definedName>
    <definedName name="_xlnm.Print_Area" localSheetId="4">Calculations!$A$3:$H$26</definedName>
    <definedName name="_xlnm.Print_Area" localSheetId="2">'Emissions Reduction Worksheet'!$A$3:$K$33</definedName>
    <definedName name="_xlnm.Print_Area" localSheetId="3">'Inputs &amp; Outputs'!$A$3:$E$26</definedName>
    <definedName name="_xlnm.Print_Area" localSheetId="0">Instructions!$A$1:$G$13</definedName>
    <definedName name="_xlnm.Print_Area" localSheetId="1">'ITS Delay Worksheet'!$A$3:$J$33</definedName>
    <definedName name="Real_wage_growth_rate">Calculations!#REF!</definedName>
    <definedName name="Sponsor_ID_Number__CSJ__etc.">'Inputs &amp; Outputs'!$B$8</definedName>
    <definedName name="Value_of_Delay_Savings__2018_____000s">Calculations!#REF!+Calculations!#REF!</definedName>
    <definedName name="Value_of_Travel_Time__VoTT___2018">Calculations!#REF!</definedName>
    <definedName name="Vehicle_Occupancy">Calculations!#REF!</definedName>
    <definedName name="Year_Open_to_Traffic?">'Inputs &amp; Outputs'!$B$9</definedName>
    <definedName name="Years_to_include_in_BCA_Analysis">Calculations!#REF!</definedName>
  </definedNames>
  <calcPr calcId="179017"/>
</workbook>
</file>

<file path=xl/calcChain.xml><?xml version="1.0" encoding="utf-8"?>
<calcChain xmlns="http://schemas.openxmlformats.org/spreadsheetml/2006/main">
  <c r="G8" i="11" l="1"/>
  <c r="F8" i="11"/>
  <c r="J4" i="12"/>
  <c r="E4" i="12" s="1"/>
  <c r="B7" i="12"/>
  <c r="F9" i="11"/>
  <c r="B6" i="12"/>
  <c r="B5" i="12"/>
  <c r="B4" i="12"/>
  <c r="G9" i="11"/>
  <c r="K4" i="12" s="1"/>
  <c r="F4" i="12" s="1"/>
  <c r="B10" i="12"/>
  <c r="B8" i="12"/>
  <c r="B9" i="12"/>
  <c r="I4" i="12"/>
  <c r="B18" i="5"/>
  <c r="E17" i="5"/>
  <c r="B19" i="5"/>
  <c r="E18" i="5"/>
  <c r="G4" i="7"/>
  <c r="H4" i="7"/>
  <c r="G4" i="5"/>
  <c r="G5" i="5"/>
  <c r="G6" i="5"/>
  <c r="G7" i="5"/>
  <c r="G8" i="5"/>
  <c r="G9" i="5"/>
  <c r="G10" i="5"/>
  <c r="G11" i="5"/>
  <c r="G12" i="5"/>
  <c r="G13" i="5"/>
  <c r="G14" i="5"/>
  <c r="B18" i="7"/>
  <c r="B17" i="7"/>
  <c r="B16" i="7"/>
  <c r="E17" i="7"/>
  <c r="I4" i="7"/>
  <c r="G5" i="7"/>
  <c r="H5" i="7"/>
  <c r="B21" i="5"/>
  <c r="J14" i="5"/>
  <c r="H14" i="5"/>
  <c r="G15" i="5"/>
  <c r="H10" i="5"/>
  <c r="H6" i="5"/>
  <c r="H11" i="5"/>
  <c r="B20" i="5"/>
  <c r="J5" i="5"/>
  <c r="J13" i="5"/>
  <c r="J11" i="5"/>
  <c r="J10" i="5"/>
  <c r="J9" i="5"/>
  <c r="J4" i="5"/>
  <c r="J12" i="5"/>
  <c r="J8" i="5"/>
  <c r="J7" i="5"/>
  <c r="J6" i="5"/>
  <c r="H12" i="5"/>
  <c r="H4" i="5"/>
  <c r="H13" i="5"/>
  <c r="H5" i="5"/>
  <c r="H7" i="5"/>
  <c r="H8" i="5"/>
  <c r="H9" i="5"/>
  <c r="I5" i="7"/>
  <c r="G6" i="7"/>
  <c r="G7" i="7"/>
  <c r="K5" i="5"/>
  <c r="K10" i="5"/>
  <c r="K4" i="5"/>
  <c r="K11" i="5"/>
  <c r="K7" i="5"/>
  <c r="K8" i="5"/>
  <c r="K12" i="5"/>
  <c r="K9" i="5"/>
  <c r="K6" i="5"/>
  <c r="K13" i="5"/>
  <c r="K14" i="5"/>
  <c r="H15" i="5"/>
  <c r="G16" i="5"/>
  <c r="J15" i="5"/>
  <c r="K15" i="5"/>
  <c r="I13" i="5"/>
  <c r="I7" i="5"/>
  <c r="I8" i="5"/>
  <c r="I10" i="5"/>
  <c r="I9" i="5"/>
  <c r="I14" i="5"/>
  <c r="I12" i="5"/>
  <c r="I5" i="5"/>
  <c r="I6" i="5"/>
  <c r="I11" i="5"/>
  <c r="B19" i="7"/>
  <c r="I4" i="5"/>
  <c r="H6" i="7"/>
  <c r="I6" i="7"/>
  <c r="H16" i="5"/>
  <c r="I16" i="5"/>
  <c r="J16" i="5"/>
  <c r="K16" i="5"/>
  <c r="G17" i="5"/>
  <c r="I15" i="5"/>
  <c r="G8" i="7"/>
  <c r="H7" i="7"/>
  <c r="I7" i="7"/>
  <c r="J7" i="7"/>
  <c r="J6" i="7"/>
  <c r="J5" i="7"/>
  <c r="J4" i="7"/>
  <c r="H8" i="7"/>
  <c r="I8" i="7"/>
  <c r="J8" i="7"/>
  <c r="G9" i="7"/>
  <c r="G18" i="5"/>
  <c r="H17" i="5"/>
  <c r="J17" i="5"/>
  <c r="K17" i="5"/>
  <c r="B11" i="7"/>
  <c r="B12" i="7"/>
  <c r="I17" i="5"/>
  <c r="G10" i="7"/>
  <c r="H9" i="7"/>
  <c r="I9" i="7"/>
  <c r="J9" i="7"/>
  <c r="G19" i="5"/>
  <c r="H18" i="5"/>
  <c r="I18" i="5"/>
  <c r="J18" i="5"/>
  <c r="K18" i="5"/>
  <c r="J19" i="5"/>
  <c r="K19" i="5"/>
  <c r="G20" i="5"/>
  <c r="H19" i="5"/>
  <c r="I19" i="5"/>
  <c r="G11" i="7"/>
  <c r="H10" i="7"/>
  <c r="I10" i="7"/>
  <c r="J10" i="7"/>
  <c r="H11" i="7"/>
  <c r="I11" i="7"/>
  <c r="J11" i="7"/>
  <c r="G12" i="7"/>
  <c r="J20" i="5"/>
  <c r="K20" i="5"/>
  <c r="G21" i="5"/>
  <c r="H20" i="5"/>
  <c r="I20" i="5"/>
  <c r="G13" i="7"/>
  <c r="H12" i="7"/>
  <c r="I12" i="7"/>
  <c r="J12" i="7"/>
  <c r="J21" i="5"/>
  <c r="K21" i="5"/>
  <c r="H21" i="5"/>
  <c r="I21" i="5"/>
  <c r="G22" i="5"/>
  <c r="H13" i="7"/>
  <c r="I13" i="7"/>
  <c r="J13" i="7"/>
  <c r="G14" i="7"/>
  <c r="J22" i="5"/>
  <c r="K22" i="5"/>
  <c r="G23" i="5"/>
  <c r="H22" i="5"/>
  <c r="I22" i="5"/>
  <c r="H23" i="5"/>
  <c r="I23" i="5"/>
  <c r="J23" i="5"/>
  <c r="K23" i="5"/>
  <c r="G24" i="5"/>
  <c r="H14" i="7"/>
  <c r="I14" i="7"/>
  <c r="J14" i="7"/>
  <c r="G15" i="7"/>
  <c r="G16" i="7"/>
  <c r="H15" i="7"/>
  <c r="I15" i="7"/>
  <c r="J15" i="7"/>
  <c r="H24" i="5"/>
  <c r="I24" i="5"/>
  <c r="J24" i="5"/>
  <c r="K24" i="5"/>
  <c r="B11" i="5"/>
  <c r="B12" i="5"/>
  <c r="G25" i="5"/>
  <c r="G26" i="5"/>
  <c r="H25" i="5"/>
  <c r="I25" i="5"/>
  <c r="J25" i="5"/>
  <c r="K25" i="5"/>
  <c r="H16" i="7"/>
  <c r="I16" i="7"/>
  <c r="J16" i="7"/>
  <c r="G17" i="7"/>
  <c r="H17" i="7"/>
  <c r="I17" i="7"/>
  <c r="J17" i="7"/>
  <c r="G18" i="7"/>
  <c r="G27" i="5"/>
  <c r="H26" i="5"/>
  <c r="I26" i="5"/>
  <c r="J26" i="5"/>
  <c r="K26" i="5"/>
  <c r="J27" i="5"/>
  <c r="K27" i="5"/>
  <c r="G28" i="5"/>
  <c r="H27" i="5"/>
  <c r="I27" i="5"/>
  <c r="G19" i="7"/>
  <c r="H18" i="7"/>
  <c r="I18" i="7"/>
  <c r="J18" i="7"/>
  <c r="G29" i="5"/>
  <c r="H28" i="5"/>
  <c r="I28" i="5"/>
  <c r="J28" i="5"/>
  <c r="K28" i="5"/>
  <c r="H19" i="7"/>
  <c r="I19" i="7"/>
  <c r="J19" i="7"/>
  <c r="G20" i="7"/>
  <c r="G21" i="7"/>
  <c r="H20" i="7"/>
  <c r="I20" i="7"/>
  <c r="J20" i="7"/>
  <c r="J29" i="5"/>
  <c r="K29" i="5"/>
  <c r="H29" i="5"/>
  <c r="I29" i="5"/>
  <c r="B13" i="5"/>
  <c r="H21" i="7"/>
  <c r="I21" i="7"/>
  <c r="J21" i="7"/>
  <c r="G22" i="7"/>
  <c r="H22" i="7"/>
  <c r="I22" i="7"/>
  <c r="J22" i="7"/>
  <c r="G23" i="7"/>
  <c r="G24" i="7"/>
  <c r="H23" i="7"/>
  <c r="I23" i="7"/>
  <c r="J23" i="7"/>
  <c r="H24" i="7"/>
  <c r="I24" i="7"/>
  <c r="J24" i="7"/>
  <c r="G25" i="7"/>
  <c r="G26" i="7"/>
  <c r="H25" i="7"/>
  <c r="I25" i="7"/>
  <c r="J25" i="7"/>
  <c r="G27" i="7"/>
  <c r="H26" i="7"/>
  <c r="I26" i="7"/>
  <c r="J26" i="7"/>
  <c r="H27" i="7"/>
  <c r="I27" i="7"/>
  <c r="J27" i="7"/>
  <c r="G28" i="7"/>
  <c r="H28" i="7"/>
  <c r="I28" i="7"/>
  <c r="J28" i="7"/>
  <c r="G29" i="7"/>
  <c r="H29" i="7"/>
  <c r="I29" i="7"/>
  <c r="J29" i="7"/>
  <c r="F10" i="11" l="1"/>
  <c r="F11" i="11" s="1"/>
</calcChain>
</file>

<file path=xl/sharedStrings.xml><?xml version="1.0" encoding="utf-8"?>
<sst xmlns="http://schemas.openxmlformats.org/spreadsheetml/2006/main" count="198" uniqueCount="145">
  <si>
    <t>Instructions:</t>
  </si>
  <si>
    <t>Inputs</t>
  </si>
  <si>
    <t>The following user inputs are needed on the “Inputs &amp; Outputs” tab of the template spreadsheet and are shaded in blue on this tab. These input fields are listed below in the general order that they would be filled in by the user.</t>
  </si>
  <si>
    <t>Input</t>
  </si>
  <si>
    <t>Cell reference</t>
  </si>
  <si>
    <t>Notes</t>
  </si>
  <si>
    <t>Does the project add capacity (lanes)?</t>
  </si>
  <si>
    <t>B10</t>
  </si>
  <si>
    <t>If the project involves increasing road capacity by providing more travel lanes, input “Yes”.</t>
  </si>
  <si>
    <t>Primary Project Type</t>
  </si>
  <si>
    <t>B11</t>
  </si>
  <si>
    <t>Choose one of the four project categories used by H-GAC for evaluation. If the project fits more than one category, input the one that seems primary or most relevant. There are opportunities to include benefits from other applicable concurrent project implementations in the input fields that follow.</t>
  </si>
  <si>
    <t>Facility Type</t>
  </si>
  <si>
    <t>B12</t>
  </si>
  <si>
    <t>Choose one of the three applicable facility (road) types.</t>
  </si>
  <si>
    <t>Involves access management?</t>
  </si>
  <si>
    <t>B13</t>
  </si>
  <si>
    <t>If the project involves any access management strategies, input “Yes”. Otherwise “No”.</t>
  </si>
  <si>
    <t>If yes, what is the street type</t>
  </si>
  <si>
    <t>B14</t>
  </si>
  <si>
    <t>Input the street (facility) type on which the planned access management strategies would be implemented. Leave blank if not applicable.</t>
  </si>
  <si>
    <t>Note: This input should match input in cell B12.</t>
  </si>
  <si>
    <t>Involves grade separation?</t>
  </si>
  <si>
    <t>B15</t>
  </si>
  <si>
    <t>If the project involves any form of grade separation between intersecting facilities, input “Yes”. Otherwise “No”.</t>
  </si>
  <si>
    <t>Involves installation of ITS infrastructure?</t>
  </si>
  <si>
    <t>B16</t>
  </si>
  <si>
    <t>If the project involves installation of any ITS technology infrastructure, input “Yes”. Otherwise “No”.</t>
  </si>
  <si>
    <t>Do you have a current PTI estimate?</t>
  </si>
  <si>
    <t>B17</t>
  </si>
  <si>
    <t>If you have an estimate of the current Planning Time Index (PTI) on the project facility, input “Yes”. Otherwise “No”.</t>
  </si>
  <si>
    <t>If yes, input a value (must be greater than or equal to 1.0)</t>
  </si>
  <si>
    <t>B18</t>
  </si>
  <si>
    <t>If you have an estimate of the current Planning Time Index (PTI) on the project facility, please input the estimated value (up to 2 decimal places). If not, leave this entry blank.</t>
  </si>
  <si>
    <t>Source for PTI estimate (please provide reference link)</t>
  </si>
  <si>
    <t>B19</t>
  </si>
  <si>
    <t>If you provided a PTI estimate, please provide a source or reference for the value (e.g., Texas DOT 100 most congested roads list)</t>
  </si>
  <si>
    <t>ADT (before implementation)</t>
  </si>
  <si>
    <t>I6</t>
  </si>
  <si>
    <t>Input current total Average Daily Traffic (ADT) volume (number of vehicles per day) on the project facility.</t>
  </si>
  <si>
    <t>ADT (after implementation)</t>
  </si>
  <si>
    <t>J6</t>
  </si>
  <si>
    <t>Input expected Average Daily Traffic (ADT) volume (vehicles per day) on the project facility after the project is implemented.</t>
  </si>
  <si>
    <t>Number of Lanes (before implementation)</t>
  </si>
  <si>
    <t>I7</t>
  </si>
  <si>
    <t>The current number of travel lanes on the facility under the scope of the project. Travel lanes represent continuous through lanes excluding any short stretches with special configurations like turn lanes at intersections. Two-way left turn lanes, if present throughout the project road length, should not be included.</t>
  </si>
  <si>
    <t>Number of Lanes (after implementation)</t>
  </si>
  <si>
    <t>J7</t>
  </si>
  <si>
    <t>Number of travel lanes on the facility after implementation of the project. Travel lanes represent continuous through lanes excluding any short stretches with special configurations like turn lanes at intersections. Two-way left turn lanes, if present throughout the project road length, should not be included.</t>
  </si>
  <si>
    <t>Project Information</t>
  </si>
  <si>
    <t>Daily System/Facility Data</t>
  </si>
  <si>
    <t>With Project</t>
  </si>
  <si>
    <t>Year</t>
  </si>
  <si>
    <t>Annual VHT Savings</t>
  </si>
  <si>
    <t>Value of Delay Savings (2013 $, '000s)</t>
  </si>
  <si>
    <t>Name:</t>
  </si>
  <si>
    <t>Year Open to Traffic?</t>
  </si>
  <si>
    <t>ID Number:</t>
  </si>
  <si>
    <t>Project Life (see MOSER page A.8.9)</t>
  </si>
  <si>
    <t>New HOV?</t>
  </si>
  <si>
    <t>AND</t>
  </si>
  <si>
    <t>Total Cost (2015 $, '000s)</t>
  </si>
  <si>
    <t>Annual PHT Reduction (IDAS)</t>
  </si>
  <si>
    <t>Federal Funding Req. (2015 $, '000s)</t>
  </si>
  <si>
    <t>IDAS Vehicle Occupancy</t>
  </si>
  <si>
    <t>BCA Results</t>
  </si>
  <si>
    <t>Discounted Delay Benefits (2015 $, '000s)</t>
  </si>
  <si>
    <t>Delay B/C Ratio</t>
  </si>
  <si>
    <t>Assumptions</t>
  </si>
  <si>
    <t>Base Year</t>
  </si>
  <si>
    <t>Interim Calculations</t>
  </si>
  <si>
    <t>Discount Rate</t>
  </si>
  <si>
    <t>Annual VHT Reduction (Vehicles)</t>
  </si>
  <si>
    <t>Vehicle Occupancy</t>
  </si>
  <si>
    <t>Value of Travel Time (VoTT)</t>
  </si>
  <si>
    <t>Annual Days of Travel</t>
  </si>
  <si>
    <t>Control Values</t>
  </si>
  <si>
    <t>NO</t>
  </si>
  <si>
    <t>YES</t>
  </si>
  <si>
    <t>Emissions Reduction Estimates</t>
  </si>
  <si>
    <t>VOC Reduced (tonnes/year)</t>
  </si>
  <si>
    <t>Value of VOC Savings (2013 $, '000s)</t>
  </si>
  <si>
    <t>NOx Reduced (tonnes/yr)</t>
  </si>
  <si>
    <t>Value of NOx Savings (2013 $, '000s)</t>
  </si>
  <si>
    <t>Bike/Ped or LCI?</t>
  </si>
  <si>
    <t>VMT Reduced (Daily)</t>
  </si>
  <si>
    <t>OR</t>
  </si>
  <si>
    <t>VOC Emissions Reduced (metric tons/yr)</t>
  </si>
  <si>
    <t>NOx Emissions Reduced (metric tons/yr)</t>
  </si>
  <si>
    <t>Discounted Emissions Benefits (2015 $, '000s)</t>
  </si>
  <si>
    <t>Annualized Cost Effectiveness (2015 $, '000s/tonne)</t>
  </si>
  <si>
    <t>VOC Emissions Factor (g/mi)</t>
  </si>
  <si>
    <t>Nox Emissions Factor (g/mi)</t>
  </si>
  <si>
    <t>Volatile Organic Compounds (VOCs), $ / metric ton (2015 $)</t>
  </si>
  <si>
    <t>Nitrogen oxides (NOx), $ / metric ton (2015 $)</t>
  </si>
  <si>
    <t>Project Type</t>
  </si>
  <si>
    <t>Arterial Street Type</t>
  </si>
  <si>
    <t>INPUTS</t>
  </si>
  <si>
    <t>Added capacity</t>
  </si>
  <si>
    <t>Urban freeway</t>
  </si>
  <si>
    <t>Urban principal arterial</t>
  </si>
  <si>
    <t>Yes</t>
  </si>
  <si>
    <t>Access management</t>
  </si>
  <si>
    <t>Other urban street</t>
  </si>
  <si>
    <t>No</t>
  </si>
  <si>
    <t>Daily Travel Demand</t>
  </si>
  <si>
    <t>Before implementation</t>
  </si>
  <si>
    <t>After implementation</t>
  </si>
  <si>
    <t>Grade separation</t>
  </si>
  <si>
    <t>SH 288/CR 63 Grade Separation</t>
  </si>
  <si>
    <t>ADT</t>
  </si>
  <si>
    <t>ITS infrastructure</t>
  </si>
  <si>
    <t>Application ID Number:</t>
  </si>
  <si>
    <t>Number of Lanes</t>
  </si>
  <si>
    <t>Sponsor ID Number (CSJ, etc.):</t>
  </si>
  <si>
    <t>0598-02-115</t>
  </si>
  <si>
    <t>ADT per lane</t>
  </si>
  <si>
    <r>
      <t xml:space="preserve">Year Open to Traffic? </t>
    </r>
    <r>
      <rPr>
        <b/>
        <sz val="11"/>
        <color theme="1"/>
        <rFont val="Calibri"/>
        <family val="2"/>
        <scheme val="minor"/>
      </rPr>
      <t>(Must be &gt;=2021)</t>
    </r>
  </si>
  <si>
    <t>PTI estimate</t>
  </si>
  <si>
    <t>yes</t>
  </si>
  <si>
    <t>Estimated reliability benefit</t>
  </si>
  <si>
    <t>Points</t>
  </si>
  <si>
    <t>If yes, input a value (must be &gt;= 1.0)</t>
  </si>
  <si>
    <t>Calculated Reliability Benefit Based on Input Information</t>
  </si>
  <si>
    <t>Without Project</t>
  </si>
  <si>
    <t>Facility V/C Ratio</t>
  </si>
  <si>
    <t>Planning Time Index No Build</t>
  </si>
  <si>
    <t>Planning Time Index Build</t>
  </si>
  <si>
    <t>Added capacity, urban freeway</t>
  </si>
  <si>
    <t>2018 Planning Time Index</t>
  </si>
  <si>
    <t>Added capacity, urban principal arterial</t>
  </si>
  <si>
    <t>Added capacity, other urban street</t>
  </si>
  <si>
    <t>Access management, urban principal arterial</t>
  </si>
  <si>
    <t>Access management, other urban street</t>
  </si>
  <si>
    <t>ITS Infrastructure</t>
  </si>
  <si>
    <t>Estimated Planning Time Index Equation</t>
  </si>
  <si>
    <t>Urban Freeway</t>
  </si>
  <si>
    <t>1.00822+0.00003696*(ADT Per Lane)</t>
  </si>
  <si>
    <t>Urban Principal Arterial</t>
  </si>
  <si>
    <t>1.18622+0.00003578*(ADT Per Lane)</t>
  </si>
  <si>
    <t>Other Urban Street</t>
  </si>
  <si>
    <t>1.18825+0.00003508*(ADT Per Lane)</t>
  </si>
  <si>
    <t>Estimated Reliability Benefits for Project Types*</t>
  </si>
  <si>
    <r>
      <t>*</t>
    </r>
    <r>
      <rPr>
        <b/>
        <i/>
        <sz val="11"/>
        <color rgb="FF0070C0"/>
        <rFont val="Calibri"/>
        <family val="2"/>
        <scheme val="minor"/>
      </rPr>
      <t>Reference</t>
    </r>
    <r>
      <rPr>
        <i/>
        <sz val="11"/>
        <color theme="1"/>
        <rFont val="Calibri"/>
        <family val="2"/>
        <scheme val="minor"/>
      </rPr>
      <t>: Texas A&amp;M Transportation Institute, "Estimating Congestion Benefits of Transportation Projects with FIXiT 2.0: Updating and Improving the Sketch Planning Tool", Report no. PRC 17-82-F, November 2017</t>
    </r>
  </si>
  <si>
    <t>https://policy.tti.tamu.edu/congestion/estimating-congestion-benefits-of-transportation-projects-with-fixit-2-0/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</si>
</sst>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quot;$&quot;#,##0.00"/>
    <numFmt numFmtId="165" formatCode="&quot;$&quot;#,##0"/>
    <numFmt numFmtId="166" formatCode="0.000000"/>
    <numFmt numFmtId="167" formatCode="#,##0.000000"/>
  </numFmts>
  <fonts count="12"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i/>
      <sz val="11"/>
      <color theme="1"/>
      <name val="Calibri"/>
      <family val="2"/>
      <scheme val="minor"/>
    </font>
    <font>
      <i/>
      <sz val="11"/>
      <color theme="0"/>
      <name val="Calibri"/>
      <family val="2"/>
      <scheme val="minor"/>
    </font>
    <font>
      <u/>
      <sz val="11"/>
      <color theme="10"/>
      <name val="Calibri"/>
      <family val="2"/>
    </font>
    <font>
      <b/>
      <u/>
      <sz val="11"/>
      <color theme="0"/>
      <name val="Calibri"/>
      <family val="2"/>
      <scheme val="minor"/>
    </font>
    <font>
      <b/>
      <sz val="14"/>
      <color theme="1"/>
      <name val="Calibri"/>
      <family val="2"/>
      <scheme val="minor"/>
    </font>
    <font>
      <sz val="11"/>
      <color theme="0"/>
      <name val="Calibri"/>
      <family val="2"/>
      <scheme val="minor"/>
    </font>
    <font>
      <b/>
      <i/>
      <sz val="11"/>
      <color rgb="FF0070C0"/>
      <name val="Calibri"/>
      <family val="2"/>
      <scheme val="minor"/>
    </font>
    <font>
      <sz val="11"/>
      <color rgb="FF000000"/>
      <name val="Calibri"/>
      <family val="2"/>
      <scheme val="minor"/>
    </font>
  </fonts>
  <fills count="15">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
      <patternFill patternType="solid">
        <fgColor theme="4"/>
        <bgColor indexed="64"/>
      </patternFill>
    </fill>
    <fill>
      <patternFill patternType="solid">
        <fgColor theme="5" tint="0.79998168889431442"/>
        <bgColor indexed="64"/>
      </patternFill>
    </fill>
    <fill>
      <patternFill patternType="solid">
        <fgColor theme="5"/>
        <bgColor indexed="64"/>
      </patternFill>
    </fill>
    <fill>
      <patternFill patternType="solid">
        <fgColor theme="0" tint="-4.9989318521683403E-2"/>
        <bgColor theme="8" tint="0.79998168889431442"/>
      </patternFill>
    </fill>
    <fill>
      <patternFill patternType="solid">
        <fgColor theme="0" tint="-0.14999847407452621"/>
        <bgColor theme="8" tint="0.79998168889431442"/>
      </patternFill>
    </fill>
    <fill>
      <patternFill patternType="solid">
        <fgColor theme="0" tint="-0.14999847407452621"/>
        <bgColor theme="8" tint="0.59999389629810485"/>
      </patternFill>
    </fill>
    <fill>
      <patternFill patternType="solid">
        <fgColor theme="1" tint="0.34998626667073579"/>
        <bgColor indexed="64"/>
      </patternFill>
    </fill>
    <fill>
      <patternFill patternType="solid">
        <fgColor theme="0" tint="-4.9989318521683403E-2"/>
        <bgColor indexed="64"/>
      </patternFill>
    </fill>
    <fill>
      <patternFill patternType="solid">
        <fgColor theme="7" tint="0.59999389629810485"/>
        <bgColor theme="8" tint="0.79998168889431442"/>
      </patternFill>
    </fill>
    <fill>
      <patternFill patternType="solid">
        <fgColor theme="3"/>
        <bgColor indexed="64"/>
      </patternFill>
    </fill>
    <fill>
      <patternFill patternType="solid">
        <fgColor rgb="FFDCE6F1"/>
        <bgColor rgb="FF000000"/>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theme="0"/>
      </left>
      <right style="thin">
        <color theme="0"/>
      </right>
      <top style="thin">
        <color theme="0"/>
      </top>
      <bottom style="thin">
        <color theme="0"/>
      </bottom>
      <diagonal/>
    </border>
    <border>
      <left/>
      <right/>
      <top style="thin">
        <color theme="0"/>
      </top>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6" fillId="0" borderId="0" applyNumberFormat="0" applyFill="0" applyBorder="0" applyAlignment="0" applyProtection="0">
      <alignment vertical="top"/>
      <protection locked="0"/>
    </xf>
  </cellStyleXfs>
  <cellXfs count="89">
    <xf numFmtId="0" fontId="0" fillId="0" borderId="0" xfId="0"/>
    <xf numFmtId="0" fontId="0" fillId="3" borderId="1" xfId="0" applyFill="1" applyBorder="1"/>
    <xf numFmtId="0" fontId="0" fillId="3" borderId="1" xfId="0" applyFill="1" applyBorder="1" applyProtection="1">
      <protection locked="0"/>
    </xf>
    <xf numFmtId="0" fontId="2" fillId="4" borderId="1" xfId="0" applyFont="1" applyFill="1" applyBorder="1"/>
    <xf numFmtId="0" fontId="5" fillId="4" borderId="1" xfId="0" applyFont="1" applyFill="1" applyBorder="1" applyAlignment="1">
      <alignment horizontal="center"/>
    </xf>
    <xf numFmtId="3" fontId="0" fillId="3" borderId="1" xfId="0" applyNumberFormat="1" applyFill="1" applyBorder="1" applyProtection="1">
      <protection locked="0"/>
    </xf>
    <xf numFmtId="0" fontId="0" fillId="5" borderId="1" xfId="0" applyFill="1" applyBorder="1"/>
    <xf numFmtId="0" fontId="2" fillId="6" borderId="1" xfId="0" applyFont="1" applyFill="1" applyBorder="1"/>
    <xf numFmtId="0" fontId="0" fillId="7" borderId="1" xfId="0" applyFill="1" applyBorder="1" applyAlignment="1">
      <alignment horizontal="center"/>
    </xf>
    <xf numFmtId="0" fontId="0" fillId="9" borderId="1" xfId="0" applyFill="1" applyBorder="1" applyAlignment="1">
      <alignment horizontal="center"/>
    </xf>
    <xf numFmtId="0" fontId="2" fillId="10" borderId="1" xfId="0" applyFont="1" applyFill="1" applyBorder="1" applyAlignment="1">
      <alignment horizontal="center"/>
    </xf>
    <xf numFmtId="0" fontId="2" fillId="10" borderId="1" xfId="0" applyFont="1" applyFill="1" applyBorder="1" applyAlignment="1">
      <alignment horizontal="left"/>
    </xf>
    <xf numFmtId="0" fontId="0" fillId="11" borderId="1" xfId="0" applyFill="1" applyBorder="1"/>
    <xf numFmtId="9" fontId="0" fillId="11" borderId="1" xfId="0" applyNumberFormat="1" applyFill="1" applyBorder="1"/>
    <xf numFmtId="164" fontId="0" fillId="11" borderId="1" xfId="0" applyNumberFormat="1" applyFill="1" applyBorder="1"/>
    <xf numFmtId="0" fontId="0" fillId="11" borderId="2" xfId="0" applyFill="1" applyBorder="1"/>
    <xf numFmtId="3" fontId="0" fillId="11" borderId="3" xfId="0" applyNumberFormat="1" applyFill="1" applyBorder="1"/>
    <xf numFmtId="3" fontId="0" fillId="12" borderId="1" xfId="0" applyNumberFormat="1" applyFill="1" applyBorder="1" applyAlignment="1" applyProtection="1">
      <alignment horizontal="center"/>
      <protection locked="0"/>
    </xf>
    <xf numFmtId="165" fontId="0" fillId="3" borderId="1" xfId="0" applyNumberFormat="1" applyFill="1" applyBorder="1" applyProtection="1">
      <protection locked="0"/>
    </xf>
    <xf numFmtId="0" fontId="5" fillId="10" borderId="1" xfId="0" applyFont="1" applyFill="1" applyBorder="1" applyAlignment="1">
      <alignment horizontal="center"/>
    </xf>
    <xf numFmtId="0" fontId="0" fillId="0" borderId="0" xfId="0" applyAlignment="1">
      <alignment vertical="top"/>
    </xf>
    <xf numFmtId="167" fontId="0" fillId="11" borderId="3" xfId="0" applyNumberFormat="1" applyFill="1" applyBorder="1"/>
    <xf numFmtId="164" fontId="0" fillId="7" borderId="1" xfId="2" applyNumberFormat="1" applyFont="1" applyFill="1" applyBorder="1" applyAlignment="1">
      <alignment horizontal="center"/>
    </xf>
    <xf numFmtId="165" fontId="0" fillId="11" borderId="1" xfId="0" applyNumberFormat="1" applyFill="1" applyBorder="1"/>
    <xf numFmtId="166" fontId="0" fillId="12" borderId="1" xfId="0" applyNumberFormat="1" applyFill="1" applyBorder="1" applyAlignment="1" applyProtection="1">
      <alignment horizontal="center"/>
      <protection locked="0"/>
    </xf>
    <xf numFmtId="164" fontId="0" fillId="8" borderId="1" xfId="2" applyNumberFormat="1" applyFont="1" applyFill="1" applyBorder="1" applyAlignment="1">
      <alignment horizontal="center"/>
    </xf>
    <xf numFmtId="164" fontId="0" fillId="5" borderId="1" xfId="0" applyNumberFormat="1" applyFill="1" applyBorder="1"/>
    <xf numFmtId="2" fontId="0" fillId="5" borderId="1" xfId="0" applyNumberFormat="1" applyFill="1" applyBorder="1"/>
    <xf numFmtId="164" fontId="0" fillId="9" borderId="1" xfId="2" applyNumberFormat="1" applyFont="1" applyFill="1" applyBorder="1" applyAlignment="1">
      <alignment horizontal="center"/>
    </xf>
    <xf numFmtId="165" fontId="0" fillId="5" borderId="1" xfId="0" applyNumberFormat="1" applyFill="1" applyBorder="1"/>
    <xf numFmtId="166" fontId="0" fillId="11" borderId="1" xfId="0" applyNumberFormat="1" applyFill="1" applyBorder="1" applyProtection="1">
      <protection locked="0"/>
    </xf>
    <xf numFmtId="4" fontId="0" fillId="3" borderId="1" xfId="0" applyNumberFormat="1" applyFill="1" applyBorder="1" applyProtection="1">
      <protection locked="0"/>
    </xf>
    <xf numFmtId="0" fontId="0" fillId="8" borderId="1" xfId="0" applyFill="1" applyBorder="1" applyAlignment="1">
      <alignment horizontal="center"/>
    </xf>
    <xf numFmtId="0" fontId="8" fillId="0" borderId="4" xfId="0" applyFont="1" applyBorder="1"/>
    <xf numFmtId="0" fontId="0" fillId="0" borderId="4" xfId="0" applyBorder="1"/>
    <xf numFmtId="0" fontId="6" fillId="0" borderId="0" xfId="4" applyAlignment="1" applyProtection="1"/>
    <xf numFmtId="0" fontId="0" fillId="2" borderId="0" xfId="0" applyFill="1"/>
    <xf numFmtId="0" fontId="9" fillId="4" borderId="1" xfId="0" applyFont="1" applyFill="1" applyBorder="1"/>
    <xf numFmtId="9" fontId="0" fillId="0" borderId="0" xfId="3" applyFont="1"/>
    <xf numFmtId="0" fontId="0" fillId="2" borderId="0" xfId="0" applyFill="1" applyAlignment="1">
      <alignment vertical="top"/>
    </xf>
    <xf numFmtId="9" fontId="0" fillId="2" borderId="0" xfId="3" applyFont="1" applyFill="1" applyAlignment="1">
      <alignment horizontal="center" vertical="center"/>
    </xf>
    <xf numFmtId="0" fontId="0" fillId="2" borderId="0" xfId="0" quotePrefix="1" applyFill="1"/>
    <xf numFmtId="43" fontId="0" fillId="2" borderId="0" xfId="1" applyFont="1" applyFill="1" applyAlignment="1">
      <alignment horizontal="center" vertical="center"/>
    </xf>
    <xf numFmtId="0" fontId="3" fillId="2" borderId="0" xfId="0" applyFont="1" applyFill="1"/>
    <xf numFmtId="0" fontId="0" fillId="2" borderId="0" xfId="0" applyFill="1" applyAlignment="1">
      <alignment horizontal="center" vertical="center"/>
    </xf>
    <xf numFmtId="0" fontId="0" fillId="3" borderId="1" xfId="0" applyFill="1" applyBorder="1" applyAlignment="1" applyProtection="1">
      <alignment horizontal="center" vertical="center"/>
      <protection locked="0"/>
    </xf>
    <xf numFmtId="0" fontId="4" fillId="0" borderId="0" xfId="0" applyFont="1"/>
    <xf numFmtId="2" fontId="0" fillId="0" borderId="0" xfId="0" applyNumberFormat="1"/>
    <xf numFmtId="2" fontId="2" fillId="10" borderId="1" xfId="0" applyNumberFormat="1" applyFont="1" applyFill="1" applyBorder="1" applyAlignment="1">
      <alignment horizontal="center"/>
    </xf>
    <xf numFmtId="2" fontId="0" fillId="8" borderId="1" xfId="0" applyNumberFormat="1" applyFill="1" applyBorder="1" applyAlignment="1">
      <alignment horizontal="center"/>
    </xf>
    <xf numFmtId="0" fontId="9" fillId="13" borderId="8" xfId="0" applyFont="1" applyFill="1" applyBorder="1"/>
    <xf numFmtId="0" fontId="9" fillId="13" borderId="9" xfId="0" applyFont="1" applyFill="1" applyBorder="1"/>
    <xf numFmtId="0" fontId="9" fillId="13" borderId="10" xfId="0" applyFont="1" applyFill="1" applyBorder="1"/>
    <xf numFmtId="0" fontId="7" fillId="13" borderId="11" xfId="0" applyFont="1" applyFill="1" applyBorder="1" applyAlignment="1">
      <alignment vertical="center"/>
    </xf>
    <xf numFmtId="0" fontId="9" fillId="13" borderId="0" xfId="0" applyFont="1" applyFill="1"/>
    <xf numFmtId="0" fontId="9" fillId="13" borderId="7" xfId="0" applyFont="1" applyFill="1" applyBorder="1"/>
    <xf numFmtId="0" fontId="9" fillId="13" borderId="11" xfId="0" applyFont="1" applyFill="1" applyBorder="1"/>
    <xf numFmtId="0" fontId="9" fillId="0" borderId="0" xfId="0" applyFont="1"/>
    <xf numFmtId="0" fontId="2" fillId="13" borderId="12" xfId="0" applyFont="1" applyFill="1" applyBorder="1" applyAlignment="1">
      <alignment horizontal="center" vertical="center" wrapText="1"/>
    </xf>
    <xf numFmtId="0" fontId="9" fillId="13" borderId="12" xfId="0" applyFont="1" applyFill="1" applyBorder="1" applyAlignment="1">
      <alignment vertical="center" wrapText="1"/>
    </xf>
    <xf numFmtId="0" fontId="9" fillId="13" borderId="12" xfId="0" applyFont="1" applyFill="1" applyBorder="1" applyAlignment="1">
      <alignment horizontal="center" vertical="center" wrapText="1"/>
    </xf>
    <xf numFmtId="0" fontId="5" fillId="13" borderId="12" xfId="0" applyFont="1" applyFill="1" applyBorder="1" applyAlignment="1">
      <alignment vertical="center" wrapText="1"/>
    </xf>
    <xf numFmtId="0" fontId="0" fillId="0" borderId="0" xfId="0" applyAlignment="1">
      <alignment horizontal="center"/>
    </xf>
    <xf numFmtId="2" fontId="0" fillId="0" borderId="0" xfId="3" applyNumberFormat="1" applyFont="1" applyAlignment="1">
      <alignment horizontal="center"/>
    </xf>
    <xf numFmtId="2" fontId="0" fillId="0" borderId="0" xfId="0" applyNumberFormat="1" applyAlignment="1">
      <alignment horizontal="center" vertical="center"/>
    </xf>
    <xf numFmtId="0" fontId="2" fillId="10" borderId="1" xfId="0" applyFont="1" applyFill="1" applyBorder="1" applyAlignment="1">
      <alignment horizontal="center" wrapText="1"/>
    </xf>
    <xf numFmtId="2" fontId="0" fillId="2" borderId="1" xfId="0" applyNumberFormat="1" applyFill="1" applyBorder="1" applyAlignment="1">
      <alignment horizontal="center" vertical="center"/>
    </xf>
    <xf numFmtId="2" fontId="0" fillId="2" borderId="1" xfId="0" quotePrefix="1" applyNumberFormat="1" applyFill="1" applyBorder="1" applyAlignment="1">
      <alignment horizontal="center" vertical="center"/>
    </xf>
    <xf numFmtId="2" fontId="0" fillId="2" borderId="1" xfId="0" applyNumberFormat="1" applyFill="1" applyBorder="1" applyAlignment="1">
      <alignment horizontal="center" vertical="center" wrapText="1"/>
    </xf>
    <xf numFmtId="2" fontId="0" fillId="2" borderId="1" xfId="0" quotePrefix="1" applyNumberFormat="1" applyFill="1" applyBorder="1" applyAlignment="1">
      <alignment horizontal="center" vertical="center" wrapText="1"/>
    </xf>
    <xf numFmtId="0" fontId="0" fillId="0" borderId="13" xfId="0" applyBorder="1"/>
    <xf numFmtId="1" fontId="0" fillId="5" borderId="1" xfId="0" applyNumberFormat="1" applyFill="1" applyBorder="1" applyAlignment="1">
      <alignment horizontal="center" vertical="center"/>
    </xf>
    <xf numFmtId="2" fontId="0" fillId="5" borderId="1" xfId="0" applyNumberFormat="1" applyFill="1" applyBorder="1" applyAlignment="1">
      <alignment horizontal="center" vertical="center"/>
    </xf>
    <xf numFmtId="43" fontId="0" fillId="5" borderId="2" xfId="1" applyFont="1" applyFill="1" applyBorder="1" applyAlignment="1">
      <alignment horizontal="right" vertical="center"/>
    </xf>
    <xf numFmtId="43" fontId="0" fillId="5" borderId="3" xfId="1" applyFont="1" applyFill="1" applyBorder="1" applyAlignment="1">
      <alignment horizontal="right" vertical="center"/>
    </xf>
    <xf numFmtId="3" fontId="11" fillId="14" borderId="1" xfId="0" applyNumberFormat="1" applyFont="1" applyFill="1" applyBorder="1" applyProtection="1">
      <protection locked="0"/>
    </xf>
    <xf numFmtId="0" fontId="9" fillId="13" borderId="12" xfId="0" applyFont="1" applyFill="1" applyBorder="1" applyAlignment="1">
      <alignment vertical="center" wrapText="1"/>
    </xf>
    <xf numFmtId="0" fontId="9" fillId="13" borderId="12" xfId="0" applyFont="1" applyFill="1" applyBorder="1" applyAlignment="1">
      <alignment horizontal="center" vertical="center" wrapText="1"/>
    </xf>
    <xf numFmtId="0" fontId="9" fillId="13" borderId="11" xfId="0" applyFont="1" applyFill="1" applyBorder="1" applyAlignment="1">
      <alignment horizontal="left" vertical="center" wrapText="1"/>
    </xf>
    <xf numFmtId="0" fontId="9" fillId="13" borderId="0" xfId="0" applyFont="1" applyFill="1" applyAlignment="1">
      <alignment horizontal="left" vertical="center" wrapText="1"/>
    </xf>
    <xf numFmtId="0" fontId="9" fillId="13" borderId="7" xfId="0" applyFont="1" applyFill="1" applyBorder="1" applyAlignment="1">
      <alignment horizontal="left" vertical="center" wrapText="1"/>
    </xf>
    <xf numFmtId="0" fontId="7" fillId="4" borderId="2" xfId="0" applyFont="1" applyFill="1" applyBorder="1" applyAlignment="1">
      <alignment horizontal="center"/>
    </xf>
    <xf numFmtId="0" fontId="7" fillId="4" borderId="3" xfId="0" applyFont="1" applyFill="1" applyBorder="1" applyAlignment="1">
      <alignment horizontal="center"/>
    </xf>
    <xf numFmtId="0" fontId="2" fillId="4" borderId="5" xfId="0" applyFont="1" applyFill="1" applyBorder="1" applyAlignment="1">
      <alignment horizontal="left"/>
    </xf>
    <xf numFmtId="0" fontId="2" fillId="4" borderId="4" xfId="0" applyFont="1" applyFill="1" applyBorder="1" applyAlignment="1">
      <alignment horizontal="left"/>
    </xf>
    <xf numFmtId="0" fontId="0" fillId="5" borderId="2" xfId="0" applyFill="1" applyBorder="1" applyAlignment="1">
      <alignment horizontal="center" vertical="center"/>
    </xf>
    <xf numFmtId="0" fontId="0" fillId="5" borderId="3" xfId="0" applyFill="1" applyBorder="1" applyAlignment="1">
      <alignment horizontal="center" vertical="center"/>
    </xf>
    <xf numFmtId="0" fontId="0" fillId="0" borderId="6" xfId="0" applyBorder="1" applyAlignment="1">
      <alignment horizontal="left"/>
    </xf>
    <xf numFmtId="0" fontId="0" fillId="0" borderId="0" xfId="0" applyAlignment="1">
      <alignment horizontal="left"/>
    </xf>
  </cellXfs>
  <cellStyles count="5">
    <cellStyle name="Comma" xfId="1" builtinId="3"/>
    <cellStyle name="Currency" xfId="2" builtinId="4"/>
    <cellStyle name="Hyperlink" xfId="4" builtinId="8"/>
    <cellStyle name="Normal" xfId="0" builtinId="0"/>
    <cellStyle name="Percent" xfId="3" builtinId="5"/>
  </cellStyles>
  <dxfs count="1">
    <dxf>
      <fill>
        <patternFill>
          <bgColor rgb="FFFF61FF"/>
        </patternFill>
      </fill>
    </dxf>
  </dxfs>
  <tableStyles count="0" defaultTableStyle="TableStyleMedium9" defaultPivotStyle="PivotStyleLight16"/>
  <colors>
    <mruColors>
      <color rgb="FF254061"/>
      <color rgb="FF0000FF"/>
      <color rgb="FFFF61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"Daily System/Facility</a:t>
          </a:r>
          <a:r>
            <a:rPr lang="en-US" sz="1100" b="0" baseline="0">
              <a:solidFill>
                <a:schemeClr val="bg1"/>
              </a:solidFill>
            </a:rPr>
            <a:t> Data").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Annual VHT Savings can be entered directly into the "purple" shaded cells to the right. In this case, please provide sufficient documentation of how the delay savings have been estimated, including baseline data and interim calculation documents (spreadsheets, etc.).</a:t>
          </a:r>
        </a:p>
        <a:p>
          <a:endParaRPr lang="en-US" sz="1100" b="1">
            <a:solidFill>
              <a:schemeClr val="bg1"/>
            </a:solidFill>
          </a:endParaRPr>
        </a:p>
      </xdr:txBody>
    </xdr:sp>
    <xdr:clientData/>
  </xdr:twoCellAnchor>
  <xdr:twoCellAnchor editAs="oneCell">
    <xdr:from>
      <xdr:col>1</xdr:col>
      <xdr:colOff>0</xdr:colOff>
      <xdr:row>5</xdr:row>
      <xdr:rowOff>0</xdr:rowOff>
    </xdr:from>
    <xdr:to>
      <xdr:col>2</xdr:col>
      <xdr:colOff>0</xdr:colOff>
      <xdr:row>6</xdr:row>
      <xdr:rowOff>7620</xdr:rowOff>
    </xdr:to>
    <xdr:sp macro="" textlink="">
      <xdr:nvSpPr>
        <xdr:cNvPr id="4097" name="Drop Down 1" hidden="1">
          <a:extLst>
            <a:ext uri="{63B3BB69-23CF-44E3-9099-C40C66FF867C}">
              <a14:compatExt xmlns:a14="http://schemas.microsoft.com/office/drawing/2010/main"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"Emissions Reduction Estimates</a:t>
          </a:r>
          <a:r>
            <a:rPr lang="en-US" sz="1100" b="0" baseline="0">
              <a:solidFill>
                <a:schemeClr val="bg1"/>
              </a:solidFill>
            </a:rPr>
            <a:t>").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This sheet will take either an estimate of daily VMT reduced or annual metric tons of pollutant reduced. For projects where emissions reduction vary by year, formulas in the "purple" cells to the right may be overwritten. Emissions factors for bike/ped and LCI projects are provided, please contact H-GAC for assistance in identifing the appropriate emissions factors for other project types.</a:t>
          </a:r>
        </a:p>
        <a:p>
          <a:endParaRPr lang="en-US" sz="1100" b="1">
            <a:solidFill>
              <a:schemeClr val="bg1"/>
            </a:solidFill>
          </a:endParaRPr>
        </a:p>
      </xdr:txBody>
    </xdr:sp>
    <xdr:clientData/>
  </xdr:twoCellAnchor>
  <xdr:twoCellAnchor editAs="oneCell">
    <xdr:from>
      <xdr:col>1</xdr:col>
      <xdr:colOff>0</xdr:colOff>
      <xdr:row>5</xdr:row>
      <xdr:rowOff>0</xdr:rowOff>
    </xdr:from>
    <xdr:to>
      <xdr:col>2</xdr:col>
      <xdr:colOff>0</xdr:colOff>
      <xdr:row>6</xdr:row>
      <xdr:rowOff>7620</xdr:rowOff>
    </xdr:to>
    <xdr:sp macro="" textlink="">
      <xdr:nvSpPr>
        <xdr:cNvPr id="3073" name="Drop Down 1" hidden="1">
          <a:extLst>
            <a:ext uri="{63B3BB69-23CF-44E3-9099-C40C66FF867C}">
              <a14:compatExt xmlns:a14="http://schemas.microsoft.com/office/drawing/2010/main"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policy.tti.tamu.edu/congestion/estimating-congestion-benefits-of-transportation-projects-with-fixit-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499984740745262"/>
    <pageSetUpPr fitToPage="1"/>
  </sheetPr>
  <dimension ref="A1:D25"/>
  <sheetViews>
    <sheetView zoomScale="130" zoomScaleNormal="130" workbookViewId="0">
      <selection activeCell="F9" sqref="F9"/>
    </sheetView>
  </sheetViews>
  <sheetFormatPr defaultRowHeight="15" x14ac:dyDescent="0.25"/>
  <cols>
    <col min="1" max="1" width="8.28515625" customWidth="1"/>
    <col min="2" max="2" width="31.140625" customWidth="1"/>
    <col min="3" max="3" width="22.42578125" customWidth="1"/>
    <col min="4" max="4" width="48.28515625" customWidth="1"/>
    <col min="5" max="5" width="15.28515625" bestFit="1" customWidth="1"/>
    <col min="6" max="6" width="13.28515625" customWidth="1"/>
    <col min="7" max="7" width="4.5703125" customWidth="1"/>
  </cols>
  <sheetData>
    <row r="1" spans="1:4" ht="15.75" thickBot="1" x14ac:dyDescent="0.3"/>
    <row r="2" spans="1:4" x14ac:dyDescent="0.25">
      <c r="B2" s="50" t="s">
        <v>0</v>
      </c>
      <c r="C2" s="51"/>
      <c r="D2" s="52"/>
    </row>
    <row r="3" spans="1:4" x14ac:dyDescent="0.25">
      <c r="B3" s="53" t="s">
        <v>1</v>
      </c>
      <c r="C3" s="54"/>
      <c r="D3" s="55"/>
    </row>
    <row r="4" spans="1:4" x14ac:dyDescent="0.25">
      <c r="B4" s="78" t="s">
        <v>2</v>
      </c>
      <c r="C4" s="79"/>
      <c r="D4" s="80"/>
    </row>
    <row r="5" spans="1:4" x14ac:dyDescent="0.25">
      <c r="B5" s="78"/>
      <c r="C5" s="79"/>
      <c r="D5" s="80"/>
    </row>
    <row r="6" spans="1:4" x14ac:dyDescent="0.25">
      <c r="B6" s="56"/>
      <c r="C6" s="54"/>
      <c r="D6" s="55"/>
    </row>
    <row r="7" spans="1:4" x14ac:dyDescent="0.25">
      <c r="B7" s="58" t="s">
        <v>3</v>
      </c>
      <c r="C7" s="58" t="s">
        <v>4</v>
      </c>
      <c r="D7" s="58" t="s">
        <v>5</v>
      </c>
    </row>
    <row r="8" spans="1:4" ht="30" x14ac:dyDescent="0.25">
      <c r="A8" s="20"/>
      <c r="B8" s="59" t="s">
        <v>6</v>
      </c>
      <c r="C8" s="60" t="s">
        <v>7</v>
      </c>
      <c r="D8" s="59" t="s">
        <v>8</v>
      </c>
    </row>
    <row r="9" spans="1:4" ht="90" x14ac:dyDescent="0.25">
      <c r="B9" s="59" t="s">
        <v>9</v>
      </c>
      <c r="C9" s="60" t="s">
        <v>10</v>
      </c>
      <c r="D9" s="59" t="s">
        <v>11</v>
      </c>
    </row>
    <row r="10" spans="1:4" ht="30" x14ac:dyDescent="0.25">
      <c r="B10" s="59" t="s">
        <v>12</v>
      </c>
      <c r="C10" s="60" t="s">
        <v>13</v>
      </c>
      <c r="D10" s="59" t="s">
        <v>14</v>
      </c>
    </row>
    <row r="11" spans="1:4" ht="30" x14ac:dyDescent="0.25">
      <c r="B11" s="59" t="s">
        <v>15</v>
      </c>
      <c r="C11" s="60" t="s">
        <v>16</v>
      </c>
      <c r="D11" s="59" t="s">
        <v>17</v>
      </c>
    </row>
    <row r="12" spans="1:4" ht="45" x14ac:dyDescent="0.25">
      <c r="B12" s="76" t="s">
        <v>18</v>
      </c>
      <c r="C12" s="77" t="s">
        <v>19</v>
      </c>
      <c r="D12" s="59" t="s">
        <v>20</v>
      </c>
    </row>
    <row r="13" spans="1:4" x14ac:dyDescent="0.25">
      <c r="B13" s="76"/>
      <c r="C13" s="77"/>
      <c r="D13" s="61" t="s">
        <v>21</v>
      </c>
    </row>
    <row r="14" spans="1:4" ht="45" x14ac:dyDescent="0.25">
      <c r="B14" s="59" t="s">
        <v>22</v>
      </c>
      <c r="C14" s="60" t="s">
        <v>23</v>
      </c>
      <c r="D14" s="59" t="s">
        <v>24</v>
      </c>
    </row>
    <row r="15" spans="1:4" ht="45" x14ac:dyDescent="0.25">
      <c r="B15" s="59" t="s">
        <v>25</v>
      </c>
      <c r="C15" s="60" t="s">
        <v>26</v>
      </c>
      <c r="D15" s="59" t="s">
        <v>27</v>
      </c>
    </row>
    <row r="16" spans="1:4" ht="45" x14ac:dyDescent="0.25">
      <c r="B16" s="59" t="s">
        <v>28</v>
      </c>
      <c r="C16" s="60" t="s">
        <v>29</v>
      </c>
      <c r="D16" s="59" t="s">
        <v>30</v>
      </c>
    </row>
    <row r="17" spans="2:4" ht="60" x14ac:dyDescent="0.25">
      <c r="B17" s="59" t="s">
        <v>31</v>
      </c>
      <c r="C17" s="60" t="s">
        <v>32</v>
      </c>
      <c r="D17" s="59" t="s">
        <v>33</v>
      </c>
    </row>
    <row r="18" spans="2:4" ht="45" x14ac:dyDescent="0.25">
      <c r="B18" s="59" t="s">
        <v>34</v>
      </c>
      <c r="C18" s="60" t="s">
        <v>35</v>
      </c>
      <c r="D18" s="59" t="s">
        <v>36</v>
      </c>
    </row>
    <row r="19" spans="2:4" ht="45" x14ac:dyDescent="0.25">
      <c r="B19" s="59" t="s">
        <v>37</v>
      </c>
      <c r="C19" s="60" t="s">
        <v>38</v>
      </c>
      <c r="D19" s="59" t="s">
        <v>39</v>
      </c>
    </row>
    <row r="20" spans="2:4" ht="45" x14ac:dyDescent="0.25">
      <c r="B20" s="59" t="s">
        <v>40</v>
      </c>
      <c r="C20" s="60" t="s">
        <v>41</v>
      </c>
      <c r="D20" s="59" t="s">
        <v>42</v>
      </c>
    </row>
    <row r="21" spans="2:4" ht="105" x14ac:dyDescent="0.25">
      <c r="B21" s="59" t="s">
        <v>43</v>
      </c>
      <c r="C21" s="60" t="s">
        <v>44</v>
      </c>
      <c r="D21" s="59" t="s">
        <v>45</v>
      </c>
    </row>
    <row r="22" spans="2:4" ht="105" x14ac:dyDescent="0.25">
      <c r="B22" s="59" t="s">
        <v>46</v>
      </c>
      <c r="C22" s="60" t="s">
        <v>47</v>
      </c>
      <c r="D22" s="59" t="s">
        <v>48</v>
      </c>
    </row>
    <row r="23" spans="2:4" x14ac:dyDescent="0.25">
      <c r="B23" s="57"/>
      <c r="C23" s="57"/>
      <c r="D23" s="57"/>
    </row>
    <row r="24" spans="2:4" x14ac:dyDescent="0.25">
      <c r="B24" s="57"/>
      <c r="C24" s="57"/>
      <c r="D24" s="57"/>
    </row>
    <row r="25" spans="2:4" x14ac:dyDescent="0.25">
      <c r="D25" s="70"/>
    </row>
  </sheetData>
  <mergeCells count="3">
    <mergeCell ref="B12:B13"/>
    <mergeCell ref="C12:C13"/>
    <mergeCell ref="B4:D5"/>
  </mergeCells>
  <pageMargins left="0.25" right="0.25" top="0.75" bottom="0.75" header="0.3" footer="0.3"/>
  <pageSetup paperSize="17"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pageSetUpPr fitToPage="1"/>
  </sheetPr>
  <dimension ref="A3:J53"/>
  <sheetViews>
    <sheetView zoomScale="85" zoomScaleNormal="85" workbookViewId="0">
      <selection activeCell="H1" sqref="H1:H1048576"/>
    </sheetView>
  </sheetViews>
  <sheetFormatPr defaultRowHeight="15" x14ac:dyDescent="0.25"/>
  <cols>
    <col min="1" max="1" width="38.85546875" customWidth="1"/>
    <col min="2" max="2" width="12.5703125" customWidth="1"/>
    <col min="3" max="3" width="5.28515625" customWidth="1"/>
    <col min="4" max="4" width="33.5703125" bestFit="1" customWidth="1"/>
    <col min="5" max="5" width="13.28515625" customWidth="1"/>
    <col min="6" max="6" width="4.5703125" customWidth="1"/>
    <col min="8" max="8" width="2.140625" hidden="1" customWidth="1"/>
    <col min="9" max="9" width="18.7109375" bestFit="1" customWidth="1"/>
    <col min="10" max="10" width="38.28515625" bestFit="1" customWidth="1"/>
  </cols>
  <sheetData>
    <row r="3" spans="1:10" x14ac:dyDescent="0.25">
      <c r="A3" s="3" t="s">
        <v>49</v>
      </c>
      <c r="D3" s="3" t="s">
        <v>50</v>
      </c>
      <c r="E3" s="4" t="s">
        <v>51</v>
      </c>
      <c r="G3" s="10" t="s">
        <v>52</v>
      </c>
      <c r="H3" s="10"/>
      <c r="I3" s="10" t="s">
        <v>53</v>
      </c>
      <c r="J3" s="10" t="s">
        <v>54</v>
      </c>
    </row>
    <row r="4" spans="1:10" x14ac:dyDescent="0.25">
      <c r="A4" s="1" t="s">
        <v>55</v>
      </c>
      <c r="B4" s="2"/>
      <c r="D4" s="1" t="s">
        <v>56</v>
      </c>
      <c r="E4" s="2">
        <v>2015</v>
      </c>
      <c r="G4" s="8">
        <f>E4</f>
        <v>2015</v>
      </c>
      <c r="H4" s="8">
        <f>IF(G4&lt;2041,1,0)</f>
        <v>1</v>
      </c>
      <c r="I4" s="17">
        <f>IF($G4&lt;($G$4+$E$5),$E$17,0)*H4</f>
        <v>0</v>
      </c>
      <c r="J4" s="22" t="e">
        <f>I4*$B$18*$B$19/10^3</f>
        <v>#REF!</v>
      </c>
    </row>
    <row r="5" spans="1:10" x14ac:dyDescent="0.25">
      <c r="A5" s="1" t="s">
        <v>57</v>
      </c>
      <c r="B5" s="2"/>
      <c r="D5" s="1" t="s">
        <v>58</v>
      </c>
      <c r="E5" s="5">
        <v>10</v>
      </c>
      <c r="G5" s="9">
        <f t="shared" ref="G5:G29" si="0">G4+1</f>
        <v>2016</v>
      </c>
      <c r="H5" s="9">
        <f t="shared" ref="H5:H29" si="1">IF(G5&lt;2041,1,0)</f>
        <v>1</v>
      </c>
      <c r="I5" s="17">
        <f t="shared" ref="I5:I29" si="2">IF($G5&lt;($G$4+$E$5),$E$17,0)*H5</f>
        <v>0</v>
      </c>
      <c r="J5" s="28" t="e">
        <f t="shared" ref="J5:J24" si="3">I5*$B$18*$B$19/10^3</f>
        <v>#REF!</v>
      </c>
    </row>
    <row r="6" spans="1:10" x14ac:dyDescent="0.25">
      <c r="A6" s="1" t="s">
        <v>59</v>
      </c>
      <c r="B6" s="2">
        <v>1</v>
      </c>
      <c r="D6" s="81" t="s">
        <v>60</v>
      </c>
      <c r="E6" s="82"/>
      <c r="G6" s="8">
        <f t="shared" si="0"/>
        <v>2017</v>
      </c>
      <c r="H6" s="8">
        <f t="shared" si="1"/>
        <v>1</v>
      </c>
      <c r="I6" s="17">
        <f t="shared" si="2"/>
        <v>0</v>
      </c>
      <c r="J6" s="22" t="e">
        <f t="shared" si="3"/>
        <v>#REF!</v>
      </c>
    </row>
    <row r="7" spans="1:10" x14ac:dyDescent="0.25">
      <c r="A7" s="1" t="s">
        <v>61</v>
      </c>
      <c r="B7" s="18"/>
      <c r="D7" s="1" t="s">
        <v>62</v>
      </c>
      <c r="E7" s="5"/>
      <c r="G7" s="9">
        <f t="shared" si="0"/>
        <v>2018</v>
      </c>
      <c r="H7" s="9">
        <f t="shared" si="1"/>
        <v>1</v>
      </c>
      <c r="I7" s="17">
        <f t="shared" si="2"/>
        <v>0</v>
      </c>
      <c r="J7" s="28" t="e">
        <f t="shared" si="3"/>
        <v>#REF!</v>
      </c>
    </row>
    <row r="8" spans="1:10" x14ac:dyDescent="0.25">
      <c r="A8" s="1" t="s">
        <v>63</v>
      </c>
      <c r="B8" s="18"/>
      <c r="D8" s="1" t="s">
        <v>64</v>
      </c>
      <c r="E8" s="31">
        <v>1.1499999999999999</v>
      </c>
      <c r="G8" s="8">
        <f t="shared" si="0"/>
        <v>2019</v>
      </c>
      <c r="H8" s="8">
        <f t="shared" si="1"/>
        <v>1</v>
      </c>
      <c r="I8" s="17">
        <f t="shared" si="2"/>
        <v>0</v>
      </c>
      <c r="J8" s="22" t="e">
        <f t="shared" si="3"/>
        <v>#REF!</v>
      </c>
    </row>
    <row r="9" spans="1:10" x14ac:dyDescent="0.25">
      <c r="G9" s="9">
        <f t="shared" si="0"/>
        <v>2020</v>
      </c>
      <c r="H9" s="9">
        <f t="shared" si="1"/>
        <v>1</v>
      </c>
      <c r="I9" s="17">
        <f t="shared" si="2"/>
        <v>0</v>
      </c>
      <c r="J9" s="28" t="e">
        <f t="shared" si="3"/>
        <v>#REF!</v>
      </c>
    </row>
    <row r="10" spans="1:10" x14ac:dyDescent="0.25">
      <c r="A10" s="7" t="s">
        <v>65</v>
      </c>
      <c r="G10" s="8">
        <f t="shared" si="0"/>
        <v>2021</v>
      </c>
      <c r="H10" s="8">
        <f t="shared" si="1"/>
        <v>1</v>
      </c>
      <c r="I10" s="17">
        <f t="shared" si="2"/>
        <v>0</v>
      </c>
      <c r="J10" s="22" t="e">
        <f t="shared" si="3"/>
        <v>#REF!</v>
      </c>
    </row>
    <row r="11" spans="1:10" x14ac:dyDescent="0.25">
      <c r="A11" s="6" t="s">
        <v>66</v>
      </c>
      <c r="B11" s="29" t="e">
        <f>NPV($B$17,J4:J29)/(1+$B$17)^(E4-B16+1)</f>
        <v>#REF!</v>
      </c>
      <c r="G11" s="9">
        <f t="shared" si="0"/>
        <v>2022</v>
      </c>
      <c r="H11" s="9">
        <f t="shared" si="1"/>
        <v>1</v>
      </c>
      <c r="I11" s="17">
        <f t="shared" si="2"/>
        <v>0</v>
      </c>
      <c r="J11" s="28" t="e">
        <f t="shared" si="3"/>
        <v>#REF!</v>
      </c>
    </row>
    <row r="12" spans="1:10" x14ac:dyDescent="0.25">
      <c r="A12" s="6" t="s">
        <v>67</v>
      </c>
      <c r="B12" s="27" t="e">
        <f>B11/B7</f>
        <v>#REF!</v>
      </c>
      <c r="G12" s="8">
        <f t="shared" si="0"/>
        <v>2023</v>
      </c>
      <c r="H12" s="8">
        <f t="shared" si="1"/>
        <v>1</v>
      </c>
      <c r="I12" s="17">
        <f t="shared" si="2"/>
        <v>0</v>
      </c>
      <c r="J12" s="22" t="e">
        <f t="shared" si="3"/>
        <v>#REF!</v>
      </c>
    </row>
    <row r="13" spans="1:10" x14ac:dyDescent="0.25">
      <c r="G13" s="9">
        <f t="shared" si="0"/>
        <v>2024</v>
      </c>
      <c r="H13" s="9">
        <f t="shared" si="1"/>
        <v>1</v>
      </c>
      <c r="I13" s="17">
        <f t="shared" si="2"/>
        <v>0</v>
      </c>
      <c r="J13" s="28" t="e">
        <f t="shared" si="3"/>
        <v>#REF!</v>
      </c>
    </row>
    <row r="14" spans="1:10" x14ac:dyDescent="0.25">
      <c r="G14" s="8">
        <f>G13+1</f>
        <v>2025</v>
      </c>
      <c r="H14" s="8">
        <f t="shared" si="1"/>
        <v>1</v>
      </c>
      <c r="I14" s="17">
        <f t="shared" si="2"/>
        <v>0</v>
      </c>
      <c r="J14" s="22" t="e">
        <f t="shared" si="3"/>
        <v>#REF!</v>
      </c>
    </row>
    <row r="15" spans="1:10" x14ac:dyDescent="0.25">
      <c r="A15" s="11" t="s">
        <v>68</v>
      </c>
      <c r="G15" s="9">
        <f t="shared" si="0"/>
        <v>2026</v>
      </c>
      <c r="H15" s="9">
        <f t="shared" si="1"/>
        <v>1</v>
      </c>
      <c r="I15" s="17">
        <f t="shared" si="2"/>
        <v>0</v>
      </c>
      <c r="J15" s="28" t="e">
        <f t="shared" si="3"/>
        <v>#REF!</v>
      </c>
    </row>
    <row r="16" spans="1:10" x14ac:dyDescent="0.25">
      <c r="A16" s="12" t="s">
        <v>69</v>
      </c>
      <c r="B16" s="12" t="e">
        <f>#REF!</f>
        <v>#REF!</v>
      </c>
      <c r="D16" s="11" t="s">
        <v>70</v>
      </c>
      <c r="E16" s="19" t="s">
        <v>51</v>
      </c>
      <c r="G16" s="8">
        <f t="shared" si="0"/>
        <v>2027</v>
      </c>
      <c r="H16" s="8">
        <f t="shared" si="1"/>
        <v>1</v>
      </c>
      <c r="I16" s="17">
        <f t="shared" si="2"/>
        <v>0</v>
      </c>
      <c r="J16" s="22" t="e">
        <f t="shared" si="3"/>
        <v>#REF!</v>
      </c>
    </row>
    <row r="17" spans="1:10" x14ac:dyDescent="0.25">
      <c r="A17" s="12" t="s">
        <v>71</v>
      </c>
      <c r="B17" s="13" t="e">
        <f>#REF!</f>
        <v>#REF!</v>
      </c>
      <c r="D17" s="15" t="s">
        <v>72</v>
      </c>
      <c r="E17" s="16">
        <f>E7/E8</f>
        <v>0</v>
      </c>
      <c r="G17" s="9">
        <f t="shared" si="0"/>
        <v>2028</v>
      </c>
      <c r="H17" s="9">
        <f t="shared" si="1"/>
        <v>1</v>
      </c>
      <c r="I17" s="17">
        <f t="shared" si="2"/>
        <v>0</v>
      </c>
      <c r="J17" s="28" t="e">
        <f t="shared" si="3"/>
        <v>#REF!</v>
      </c>
    </row>
    <row r="18" spans="1:10" x14ac:dyDescent="0.25">
      <c r="A18" s="12" t="s">
        <v>73</v>
      </c>
      <c r="B18" s="12">
        <f>IF(B6=2,2.1, 1.1)</f>
        <v>1.1000000000000001</v>
      </c>
      <c r="G18" s="8">
        <f t="shared" si="0"/>
        <v>2029</v>
      </c>
      <c r="H18" s="8">
        <f t="shared" si="1"/>
        <v>1</v>
      </c>
      <c r="I18" s="17">
        <f t="shared" si="2"/>
        <v>0</v>
      </c>
      <c r="J18" s="22" t="e">
        <f t="shared" si="3"/>
        <v>#REF!</v>
      </c>
    </row>
    <row r="19" spans="1:10" x14ac:dyDescent="0.25">
      <c r="A19" s="12" t="s">
        <v>74</v>
      </c>
      <c r="B19" s="14" t="e">
        <f>#REF!</f>
        <v>#REF!</v>
      </c>
      <c r="G19" s="9">
        <f t="shared" si="0"/>
        <v>2030</v>
      </c>
      <c r="H19" s="9">
        <f t="shared" si="1"/>
        <v>1</v>
      </c>
      <c r="I19" s="17">
        <f t="shared" si="2"/>
        <v>0</v>
      </c>
      <c r="J19" s="28" t="e">
        <f t="shared" si="3"/>
        <v>#REF!</v>
      </c>
    </row>
    <row r="20" spans="1:10" x14ac:dyDescent="0.25">
      <c r="A20" s="12" t="s">
        <v>75</v>
      </c>
      <c r="B20" s="12">
        <v>260</v>
      </c>
      <c r="G20" s="8">
        <f t="shared" si="0"/>
        <v>2031</v>
      </c>
      <c r="H20" s="8">
        <f t="shared" si="1"/>
        <v>1</v>
      </c>
      <c r="I20" s="17">
        <f t="shared" si="2"/>
        <v>0</v>
      </c>
      <c r="J20" s="22" t="e">
        <f t="shared" si="3"/>
        <v>#REF!</v>
      </c>
    </row>
    <row r="21" spans="1:10" x14ac:dyDescent="0.25">
      <c r="G21" s="9">
        <f t="shared" si="0"/>
        <v>2032</v>
      </c>
      <c r="H21" s="9">
        <f t="shared" si="1"/>
        <v>1</v>
      </c>
      <c r="I21" s="17">
        <f t="shared" si="2"/>
        <v>0</v>
      </c>
      <c r="J21" s="28" t="e">
        <f t="shared" si="3"/>
        <v>#REF!</v>
      </c>
    </row>
    <row r="22" spans="1:10" x14ac:dyDescent="0.25">
      <c r="G22" s="8">
        <f t="shared" si="0"/>
        <v>2033</v>
      </c>
      <c r="H22" s="8">
        <f t="shared" si="1"/>
        <v>1</v>
      </c>
      <c r="I22" s="17">
        <f t="shared" si="2"/>
        <v>0</v>
      </c>
      <c r="J22" s="22" t="e">
        <f t="shared" si="3"/>
        <v>#REF!</v>
      </c>
    </row>
    <row r="23" spans="1:10" x14ac:dyDescent="0.25">
      <c r="G23" s="9">
        <f t="shared" si="0"/>
        <v>2034</v>
      </c>
      <c r="H23" s="9">
        <f t="shared" si="1"/>
        <v>1</v>
      </c>
      <c r="I23" s="17">
        <f t="shared" si="2"/>
        <v>0</v>
      </c>
      <c r="J23" s="28" t="e">
        <f t="shared" si="3"/>
        <v>#REF!</v>
      </c>
    </row>
    <row r="24" spans="1:10" x14ac:dyDescent="0.25">
      <c r="G24" s="8">
        <f t="shared" si="0"/>
        <v>2035</v>
      </c>
      <c r="H24" s="8">
        <f t="shared" si="1"/>
        <v>1</v>
      </c>
      <c r="I24" s="17">
        <f t="shared" si="2"/>
        <v>0</v>
      </c>
      <c r="J24" s="22" t="e">
        <f t="shared" si="3"/>
        <v>#REF!</v>
      </c>
    </row>
    <row r="25" spans="1:10" x14ac:dyDescent="0.25">
      <c r="G25" s="9">
        <f t="shared" si="0"/>
        <v>2036</v>
      </c>
      <c r="H25" s="9">
        <f t="shared" si="1"/>
        <v>1</v>
      </c>
      <c r="I25" s="17">
        <f t="shared" si="2"/>
        <v>0</v>
      </c>
      <c r="J25" s="28" t="e">
        <f t="shared" ref="J25:J29" si="4">I25*$B$18*$B$19/10^3</f>
        <v>#REF!</v>
      </c>
    </row>
    <row r="26" spans="1:10" x14ac:dyDescent="0.25">
      <c r="G26" s="8">
        <f t="shared" si="0"/>
        <v>2037</v>
      </c>
      <c r="H26" s="8">
        <f t="shared" si="1"/>
        <v>1</v>
      </c>
      <c r="I26" s="17">
        <f t="shared" si="2"/>
        <v>0</v>
      </c>
      <c r="J26" s="22" t="e">
        <f t="shared" si="4"/>
        <v>#REF!</v>
      </c>
    </row>
    <row r="27" spans="1:10" x14ac:dyDescent="0.25">
      <c r="G27" s="9">
        <f t="shared" si="0"/>
        <v>2038</v>
      </c>
      <c r="H27" s="9">
        <f t="shared" si="1"/>
        <v>1</v>
      </c>
      <c r="I27" s="17">
        <f t="shared" si="2"/>
        <v>0</v>
      </c>
      <c r="J27" s="28" t="e">
        <f t="shared" si="4"/>
        <v>#REF!</v>
      </c>
    </row>
    <row r="28" spans="1:10" x14ac:dyDescent="0.25">
      <c r="G28" s="8">
        <f t="shared" si="0"/>
        <v>2039</v>
      </c>
      <c r="H28" s="8">
        <f t="shared" si="1"/>
        <v>1</v>
      </c>
      <c r="I28" s="17">
        <f t="shared" si="2"/>
        <v>0</v>
      </c>
      <c r="J28" s="22" t="e">
        <f t="shared" si="4"/>
        <v>#REF!</v>
      </c>
    </row>
    <row r="29" spans="1:10" x14ac:dyDescent="0.25">
      <c r="A29" s="20"/>
      <c r="G29" s="9">
        <f t="shared" si="0"/>
        <v>2040</v>
      </c>
      <c r="H29" s="9">
        <f t="shared" si="1"/>
        <v>1</v>
      </c>
      <c r="I29" s="17">
        <f t="shared" si="2"/>
        <v>0</v>
      </c>
      <c r="J29" s="28" t="e">
        <f t="shared" si="4"/>
        <v>#REF!</v>
      </c>
    </row>
    <row r="51" spans="1:1" x14ac:dyDescent="0.25">
      <c r="A51" t="s">
        <v>76</v>
      </c>
    </row>
    <row r="52" spans="1:1" x14ac:dyDescent="0.25">
      <c r="A52" t="s">
        <v>77</v>
      </c>
    </row>
    <row r="53" spans="1:1" x14ac:dyDescent="0.25">
      <c r="A53" t="s">
        <v>78</v>
      </c>
    </row>
  </sheetData>
  <mergeCells count="1">
    <mergeCell ref="D6:E6"/>
  </mergeCells>
  <pageMargins left="0.25" right="0.25" top="0.75" bottom="0.75" header="0.3" footer="0.3"/>
  <pageSetup paperSize="17"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pageSetUpPr fitToPage="1"/>
  </sheetPr>
  <dimension ref="A3:K55"/>
  <sheetViews>
    <sheetView zoomScale="85" zoomScaleNormal="85" workbookViewId="0">
      <selection activeCell="H1" sqref="H1:H1048576"/>
    </sheetView>
  </sheetViews>
  <sheetFormatPr defaultRowHeight="15" x14ac:dyDescent="0.25"/>
  <cols>
    <col min="1" max="1" width="54.28515625" customWidth="1"/>
    <col min="2" max="2" width="12.5703125" customWidth="1"/>
    <col min="3" max="3" width="5.28515625" customWidth="1"/>
    <col min="4" max="4" width="37.42578125" bestFit="1" customWidth="1"/>
    <col min="5" max="5" width="13.28515625" customWidth="1"/>
    <col min="6" max="6" width="4.5703125" customWidth="1"/>
    <col min="8" max="8" width="26.42578125" bestFit="1" customWidth="1"/>
    <col min="9" max="9" width="34.5703125" bestFit="1" customWidth="1"/>
    <col min="10" max="10" width="24.140625" bestFit="1" customWidth="1"/>
    <col min="11" max="11" width="33.42578125" bestFit="1" customWidth="1"/>
  </cols>
  <sheetData>
    <row r="3" spans="1:11" x14ac:dyDescent="0.25">
      <c r="A3" s="3" t="s">
        <v>49</v>
      </c>
      <c r="D3" s="3" t="s">
        <v>79</v>
      </c>
      <c r="E3" s="4" t="s">
        <v>51</v>
      </c>
      <c r="G3" s="10" t="s">
        <v>52</v>
      </c>
      <c r="H3" s="10" t="s">
        <v>80</v>
      </c>
      <c r="I3" s="10" t="s">
        <v>81</v>
      </c>
      <c r="J3" s="10" t="s">
        <v>82</v>
      </c>
      <c r="K3" s="10" t="s">
        <v>83</v>
      </c>
    </row>
    <row r="4" spans="1:11" x14ac:dyDescent="0.25">
      <c r="A4" s="1" t="s">
        <v>55</v>
      </c>
      <c r="B4" s="2"/>
      <c r="D4" s="1" t="s">
        <v>56</v>
      </c>
      <c r="E4" s="2">
        <v>2015</v>
      </c>
      <c r="G4" s="8">
        <f>E4</f>
        <v>2015</v>
      </c>
      <c r="H4" s="24" t="e">
        <f t="shared" ref="H4:H24" si="0">IF($G4&lt;($G$4+$E$5),$E$17,0)</f>
        <v>#REF!</v>
      </c>
      <c r="I4" s="22" t="e">
        <f>H4*$B$20/10^3</f>
        <v>#REF!</v>
      </c>
      <c r="J4" s="24" t="e">
        <f t="shared" ref="J4:J24" si="1">IF($G4&lt;($G$4+$E$5),$E$18,0)</f>
        <v>#REF!</v>
      </c>
      <c r="K4" s="22" t="e">
        <f>J4*$B$21/10^3</f>
        <v>#REF!</v>
      </c>
    </row>
    <row r="5" spans="1:11" x14ac:dyDescent="0.25">
      <c r="A5" s="1" t="s">
        <v>57</v>
      </c>
      <c r="B5" s="2"/>
      <c r="D5" s="1" t="s">
        <v>58</v>
      </c>
      <c r="E5" s="5">
        <v>10</v>
      </c>
      <c r="G5" s="9">
        <f t="shared" ref="G5:G29" si="2">G4+1</f>
        <v>2016</v>
      </c>
      <c r="H5" s="24" t="e">
        <f t="shared" si="0"/>
        <v>#REF!</v>
      </c>
      <c r="I5" s="25" t="e">
        <f t="shared" ref="I5:I24" si="3">H5*$B$20/10^3</f>
        <v>#REF!</v>
      </c>
      <c r="J5" s="24" t="e">
        <f t="shared" si="1"/>
        <v>#REF!</v>
      </c>
      <c r="K5" s="25" t="e">
        <f t="shared" ref="K5:K24" si="4">J5*$B$21/10^3</f>
        <v>#REF!</v>
      </c>
    </row>
    <row r="6" spans="1:11" x14ac:dyDescent="0.25">
      <c r="A6" s="1" t="s">
        <v>84</v>
      </c>
      <c r="B6" s="2">
        <v>2</v>
      </c>
      <c r="D6" s="81" t="s">
        <v>60</v>
      </c>
      <c r="E6" s="82"/>
      <c r="G6" s="8">
        <f t="shared" si="2"/>
        <v>2017</v>
      </c>
      <c r="H6" s="24" t="e">
        <f t="shared" si="0"/>
        <v>#REF!</v>
      </c>
      <c r="I6" s="22" t="e">
        <f t="shared" si="3"/>
        <v>#REF!</v>
      </c>
      <c r="J6" s="24" t="e">
        <f t="shared" si="1"/>
        <v>#REF!</v>
      </c>
      <c r="K6" s="22" t="e">
        <f t="shared" si="4"/>
        <v>#REF!</v>
      </c>
    </row>
    <row r="7" spans="1:11" x14ac:dyDescent="0.25">
      <c r="A7" s="1" t="s">
        <v>61</v>
      </c>
      <c r="B7" s="18"/>
      <c r="D7" s="1" t="s">
        <v>85</v>
      </c>
      <c r="E7" s="5"/>
      <c r="G7" s="9">
        <f t="shared" si="2"/>
        <v>2018</v>
      </c>
      <c r="H7" s="24" t="e">
        <f t="shared" si="0"/>
        <v>#REF!</v>
      </c>
      <c r="I7" s="25" t="e">
        <f t="shared" si="3"/>
        <v>#REF!</v>
      </c>
      <c r="J7" s="24" t="e">
        <f t="shared" si="1"/>
        <v>#REF!</v>
      </c>
      <c r="K7" s="25" t="e">
        <f t="shared" si="4"/>
        <v>#REF!</v>
      </c>
    </row>
    <row r="8" spans="1:11" x14ac:dyDescent="0.25">
      <c r="A8" s="1" t="s">
        <v>63</v>
      </c>
      <c r="B8" s="18"/>
      <c r="D8" s="81" t="s">
        <v>86</v>
      </c>
      <c r="E8" s="82"/>
      <c r="G8" s="8">
        <f t="shared" si="2"/>
        <v>2019</v>
      </c>
      <c r="H8" s="24" t="e">
        <f t="shared" si="0"/>
        <v>#REF!</v>
      </c>
      <c r="I8" s="22" t="e">
        <f t="shared" si="3"/>
        <v>#REF!</v>
      </c>
      <c r="J8" s="24" t="e">
        <f t="shared" si="1"/>
        <v>#REF!</v>
      </c>
      <c r="K8" s="22" t="e">
        <f t="shared" si="4"/>
        <v>#REF!</v>
      </c>
    </row>
    <row r="9" spans="1:11" x14ac:dyDescent="0.25">
      <c r="D9" s="1" t="s">
        <v>87</v>
      </c>
      <c r="E9" s="5"/>
      <c r="G9" s="9">
        <f t="shared" si="2"/>
        <v>2020</v>
      </c>
      <c r="H9" s="24" t="e">
        <f t="shared" si="0"/>
        <v>#REF!</v>
      </c>
      <c r="I9" s="25" t="e">
        <f t="shared" si="3"/>
        <v>#REF!</v>
      </c>
      <c r="J9" s="24" t="e">
        <f t="shared" si="1"/>
        <v>#REF!</v>
      </c>
      <c r="K9" s="25" t="e">
        <f t="shared" si="4"/>
        <v>#REF!</v>
      </c>
    </row>
    <row r="10" spans="1:11" x14ac:dyDescent="0.25">
      <c r="A10" s="7" t="s">
        <v>65</v>
      </c>
      <c r="D10" s="1" t="s">
        <v>88</v>
      </c>
      <c r="E10" s="5"/>
      <c r="G10" s="8">
        <f t="shared" si="2"/>
        <v>2021</v>
      </c>
      <c r="H10" s="24" t="e">
        <f t="shared" si="0"/>
        <v>#REF!</v>
      </c>
      <c r="I10" s="22" t="e">
        <f t="shared" si="3"/>
        <v>#REF!</v>
      </c>
      <c r="J10" s="24" t="e">
        <f t="shared" si="1"/>
        <v>#REF!</v>
      </c>
      <c r="K10" s="22" t="e">
        <f t="shared" si="4"/>
        <v>#REF!</v>
      </c>
    </row>
    <row r="11" spans="1:11" x14ac:dyDescent="0.25">
      <c r="A11" s="6" t="s">
        <v>89</v>
      </c>
      <c r="B11" s="26" t="e">
        <f>(NPV($B$17,K4:K24)+NPV($B$17,I4:I24))/(1+$B$17)^2</f>
        <v>#REF!</v>
      </c>
      <c r="G11" s="9">
        <f t="shared" si="2"/>
        <v>2022</v>
      </c>
      <c r="H11" s="24" t="e">
        <f t="shared" si="0"/>
        <v>#REF!</v>
      </c>
      <c r="I11" s="25" t="e">
        <f t="shared" si="3"/>
        <v>#REF!</v>
      </c>
      <c r="J11" s="24" t="e">
        <f t="shared" si="1"/>
        <v>#REF!</v>
      </c>
      <c r="K11" s="25" t="e">
        <f t="shared" si="4"/>
        <v>#REF!</v>
      </c>
    </row>
    <row r="12" spans="1:11" x14ac:dyDescent="0.25">
      <c r="A12" s="6" t="s">
        <v>67</v>
      </c>
      <c r="B12" s="27" t="e">
        <f>B11/B7</f>
        <v>#REF!</v>
      </c>
      <c r="G12" s="8">
        <f t="shared" si="2"/>
        <v>2023</v>
      </c>
      <c r="H12" s="24" t="e">
        <f t="shared" si="0"/>
        <v>#REF!</v>
      </c>
      <c r="I12" s="22" t="e">
        <f t="shared" si="3"/>
        <v>#REF!</v>
      </c>
      <c r="J12" s="24" t="e">
        <f t="shared" si="1"/>
        <v>#REF!</v>
      </c>
      <c r="K12" s="22" t="e">
        <f t="shared" si="4"/>
        <v>#REF!</v>
      </c>
    </row>
    <row r="13" spans="1:11" x14ac:dyDescent="0.25">
      <c r="A13" s="6" t="s">
        <v>90</v>
      </c>
      <c r="B13" s="26" t="e">
        <f>B7*(B17/(1-(1+B17)^(-E5))/(SUM(H4:H29)+SUM(J4:J29)))</f>
        <v>#REF!</v>
      </c>
      <c r="G13" s="9">
        <f t="shared" si="2"/>
        <v>2024</v>
      </c>
      <c r="H13" s="24" t="e">
        <f t="shared" si="0"/>
        <v>#REF!</v>
      </c>
      <c r="I13" s="25" t="e">
        <f t="shared" si="3"/>
        <v>#REF!</v>
      </c>
      <c r="J13" s="24" t="e">
        <f t="shared" si="1"/>
        <v>#REF!</v>
      </c>
      <c r="K13" s="25" t="e">
        <f t="shared" si="4"/>
        <v>#REF!</v>
      </c>
    </row>
    <row r="14" spans="1:11" x14ac:dyDescent="0.25">
      <c r="G14" s="8">
        <f>G13+1</f>
        <v>2025</v>
      </c>
      <c r="H14" s="24">
        <f t="shared" si="0"/>
        <v>0</v>
      </c>
      <c r="I14" s="22" t="e">
        <f t="shared" si="3"/>
        <v>#REF!</v>
      </c>
      <c r="J14" s="24">
        <f t="shared" si="1"/>
        <v>0</v>
      </c>
      <c r="K14" s="22" t="e">
        <f t="shared" si="4"/>
        <v>#REF!</v>
      </c>
    </row>
    <row r="15" spans="1:11" x14ac:dyDescent="0.25">
      <c r="A15" s="11" t="s">
        <v>68</v>
      </c>
      <c r="G15" s="9">
        <f t="shared" si="2"/>
        <v>2026</v>
      </c>
      <c r="H15" s="24">
        <f t="shared" si="0"/>
        <v>0</v>
      </c>
      <c r="I15" s="25" t="e">
        <f t="shared" si="3"/>
        <v>#REF!</v>
      </c>
      <c r="J15" s="24">
        <f t="shared" si="1"/>
        <v>0</v>
      </c>
      <c r="K15" s="25" t="e">
        <f t="shared" si="4"/>
        <v>#REF!</v>
      </c>
    </row>
    <row r="16" spans="1:11" x14ac:dyDescent="0.25">
      <c r="A16" s="12" t="s">
        <v>69</v>
      </c>
      <c r="B16" s="12">
        <v>2015</v>
      </c>
      <c r="D16" s="11" t="s">
        <v>70</v>
      </c>
      <c r="E16" s="19" t="s">
        <v>51</v>
      </c>
      <c r="G16" s="8">
        <f t="shared" si="2"/>
        <v>2027</v>
      </c>
      <c r="H16" s="24">
        <f t="shared" si="0"/>
        <v>0</v>
      </c>
      <c r="I16" s="22" t="e">
        <f t="shared" si="3"/>
        <v>#REF!</v>
      </c>
      <c r="J16" s="24">
        <f t="shared" si="1"/>
        <v>0</v>
      </c>
      <c r="K16" s="22" t="e">
        <f t="shared" si="4"/>
        <v>#REF!</v>
      </c>
    </row>
    <row r="17" spans="1:11" x14ac:dyDescent="0.25">
      <c r="A17" s="12" t="s">
        <v>71</v>
      </c>
      <c r="B17" s="13">
        <v>7.0000000000000007E-2</v>
      </c>
      <c r="D17" s="15" t="s">
        <v>87</v>
      </c>
      <c r="E17" s="21" t="e">
        <f>IF(E9,E9,$E$7*B18*$B$22/10^6)</f>
        <v>#REF!</v>
      </c>
      <c r="G17" s="9">
        <f t="shared" si="2"/>
        <v>2028</v>
      </c>
      <c r="H17" s="24">
        <f t="shared" si="0"/>
        <v>0</v>
      </c>
      <c r="I17" s="25" t="e">
        <f t="shared" si="3"/>
        <v>#REF!</v>
      </c>
      <c r="J17" s="24">
        <f t="shared" si="1"/>
        <v>0</v>
      </c>
      <c r="K17" s="25" t="e">
        <f t="shared" si="4"/>
        <v>#REF!</v>
      </c>
    </row>
    <row r="18" spans="1:11" x14ac:dyDescent="0.25">
      <c r="A18" s="12" t="s">
        <v>91</v>
      </c>
      <c r="B18" s="30" t="e">
        <f>IF($B$6=2,#REF!,0)</f>
        <v>#REF!</v>
      </c>
      <c r="D18" s="15" t="s">
        <v>88</v>
      </c>
      <c r="E18" s="21" t="e">
        <f>IF(E10,E10,$E$7*B19*$B$22/10^6)</f>
        <v>#REF!</v>
      </c>
      <c r="G18" s="8">
        <f t="shared" si="2"/>
        <v>2029</v>
      </c>
      <c r="H18" s="24">
        <f t="shared" si="0"/>
        <v>0</v>
      </c>
      <c r="I18" s="22" t="e">
        <f t="shared" si="3"/>
        <v>#REF!</v>
      </c>
      <c r="J18" s="24">
        <f t="shared" si="1"/>
        <v>0</v>
      </c>
      <c r="K18" s="22" t="e">
        <f t="shared" si="4"/>
        <v>#REF!</v>
      </c>
    </row>
    <row r="19" spans="1:11" x14ac:dyDescent="0.25">
      <c r="A19" s="12" t="s">
        <v>92</v>
      </c>
      <c r="B19" s="30" t="e">
        <f>IF($B$6=2,#REF!,0)</f>
        <v>#REF!</v>
      </c>
      <c r="G19" s="9">
        <f t="shared" si="2"/>
        <v>2030</v>
      </c>
      <c r="H19" s="24">
        <f t="shared" si="0"/>
        <v>0</v>
      </c>
      <c r="I19" s="25" t="e">
        <f t="shared" si="3"/>
        <v>#REF!</v>
      </c>
      <c r="J19" s="24">
        <f t="shared" si="1"/>
        <v>0</v>
      </c>
      <c r="K19" s="25" t="e">
        <f t="shared" si="4"/>
        <v>#REF!</v>
      </c>
    </row>
    <row r="20" spans="1:11" x14ac:dyDescent="0.25">
      <c r="A20" s="12" t="s">
        <v>93</v>
      </c>
      <c r="B20" s="23" t="e">
        <f>#REF!</f>
        <v>#REF!</v>
      </c>
      <c r="G20" s="8">
        <f t="shared" si="2"/>
        <v>2031</v>
      </c>
      <c r="H20" s="24">
        <f t="shared" si="0"/>
        <v>0</v>
      </c>
      <c r="I20" s="22" t="e">
        <f t="shared" si="3"/>
        <v>#REF!</v>
      </c>
      <c r="J20" s="24">
        <f t="shared" si="1"/>
        <v>0</v>
      </c>
      <c r="K20" s="22" t="e">
        <f t="shared" si="4"/>
        <v>#REF!</v>
      </c>
    </row>
    <row r="21" spans="1:11" x14ac:dyDescent="0.25">
      <c r="A21" s="12" t="s">
        <v>94</v>
      </c>
      <c r="B21" s="23" t="e">
        <f>#REF!</f>
        <v>#REF!</v>
      </c>
      <c r="G21" s="9">
        <f t="shared" si="2"/>
        <v>2032</v>
      </c>
      <c r="H21" s="24">
        <f t="shared" si="0"/>
        <v>0</v>
      </c>
      <c r="I21" s="25" t="e">
        <f t="shared" si="3"/>
        <v>#REF!</v>
      </c>
      <c r="J21" s="24">
        <f t="shared" si="1"/>
        <v>0</v>
      </c>
      <c r="K21" s="25" t="e">
        <f t="shared" si="4"/>
        <v>#REF!</v>
      </c>
    </row>
    <row r="22" spans="1:11" x14ac:dyDescent="0.25">
      <c r="A22" s="12" t="s">
        <v>75</v>
      </c>
      <c r="B22" s="12">
        <v>260</v>
      </c>
      <c r="G22" s="8">
        <f t="shared" si="2"/>
        <v>2033</v>
      </c>
      <c r="H22" s="24">
        <f t="shared" si="0"/>
        <v>0</v>
      </c>
      <c r="I22" s="22" t="e">
        <f t="shared" si="3"/>
        <v>#REF!</v>
      </c>
      <c r="J22" s="24">
        <f t="shared" si="1"/>
        <v>0</v>
      </c>
      <c r="K22" s="22" t="e">
        <f t="shared" si="4"/>
        <v>#REF!</v>
      </c>
    </row>
    <row r="23" spans="1:11" x14ac:dyDescent="0.25">
      <c r="G23" s="9">
        <f t="shared" si="2"/>
        <v>2034</v>
      </c>
      <c r="H23" s="24">
        <f t="shared" si="0"/>
        <v>0</v>
      </c>
      <c r="I23" s="25" t="e">
        <f t="shared" si="3"/>
        <v>#REF!</v>
      </c>
      <c r="J23" s="24">
        <f t="shared" si="1"/>
        <v>0</v>
      </c>
      <c r="K23" s="25" t="e">
        <f t="shared" si="4"/>
        <v>#REF!</v>
      </c>
    </row>
    <row r="24" spans="1:11" x14ac:dyDescent="0.25">
      <c r="G24" s="8">
        <f t="shared" si="2"/>
        <v>2035</v>
      </c>
      <c r="H24" s="24">
        <f t="shared" si="0"/>
        <v>0</v>
      </c>
      <c r="I24" s="22" t="e">
        <f t="shared" si="3"/>
        <v>#REF!</v>
      </c>
      <c r="J24" s="24">
        <f t="shared" si="1"/>
        <v>0</v>
      </c>
      <c r="K24" s="22" t="e">
        <f t="shared" si="4"/>
        <v>#REF!</v>
      </c>
    </row>
    <row r="25" spans="1:11" x14ac:dyDescent="0.25">
      <c r="G25" s="9">
        <f t="shared" si="2"/>
        <v>2036</v>
      </c>
      <c r="H25" s="24">
        <f t="shared" ref="H25:H28" si="5">IF($G25&lt;($G$4+$E$5),$E$17,0)</f>
        <v>0</v>
      </c>
      <c r="I25" s="25" t="e">
        <f t="shared" ref="I25:I29" si="6">H25*$B$20/10^3</f>
        <v>#REF!</v>
      </c>
      <c r="J25" s="24">
        <f t="shared" ref="J25:J28" si="7">IF($G25&lt;($G$4+$E$5),$E$18,0)</f>
        <v>0</v>
      </c>
      <c r="K25" s="25" t="e">
        <f t="shared" ref="K25:K29" si="8">J25*$B$21/10^3</f>
        <v>#REF!</v>
      </c>
    </row>
    <row r="26" spans="1:11" x14ac:dyDescent="0.25">
      <c r="G26" s="8">
        <f t="shared" si="2"/>
        <v>2037</v>
      </c>
      <c r="H26" s="24">
        <f t="shared" si="5"/>
        <v>0</v>
      </c>
      <c r="I26" s="22" t="e">
        <f t="shared" si="6"/>
        <v>#REF!</v>
      </c>
      <c r="J26" s="24">
        <f t="shared" si="7"/>
        <v>0</v>
      </c>
      <c r="K26" s="22" t="e">
        <f t="shared" si="8"/>
        <v>#REF!</v>
      </c>
    </row>
    <row r="27" spans="1:11" x14ac:dyDescent="0.25">
      <c r="G27" s="9">
        <f t="shared" si="2"/>
        <v>2038</v>
      </c>
      <c r="H27" s="24">
        <f t="shared" si="5"/>
        <v>0</v>
      </c>
      <c r="I27" s="25" t="e">
        <f t="shared" si="6"/>
        <v>#REF!</v>
      </c>
      <c r="J27" s="24">
        <f t="shared" si="7"/>
        <v>0</v>
      </c>
      <c r="K27" s="25" t="e">
        <f t="shared" si="8"/>
        <v>#REF!</v>
      </c>
    </row>
    <row r="28" spans="1:11" x14ac:dyDescent="0.25">
      <c r="G28" s="8">
        <f t="shared" si="2"/>
        <v>2039</v>
      </c>
      <c r="H28" s="24">
        <f t="shared" si="5"/>
        <v>0</v>
      </c>
      <c r="I28" s="22" t="e">
        <f t="shared" si="6"/>
        <v>#REF!</v>
      </c>
      <c r="J28" s="24">
        <f t="shared" si="7"/>
        <v>0</v>
      </c>
      <c r="K28" s="22" t="e">
        <f t="shared" si="8"/>
        <v>#REF!</v>
      </c>
    </row>
    <row r="29" spans="1:11" x14ac:dyDescent="0.25">
      <c r="G29" s="9">
        <f t="shared" si="2"/>
        <v>2040</v>
      </c>
      <c r="H29" s="24">
        <f>IF($G29&lt;($G$4+$E$5),$E$17,0)</f>
        <v>0</v>
      </c>
      <c r="I29" s="25" t="e">
        <f t="shared" si="6"/>
        <v>#REF!</v>
      </c>
      <c r="J29" s="24">
        <f>IF($G29&lt;($G$4+$E$5),$E$18,0)</f>
        <v>0</v>
      </c>
      <c r="K29" s="25" t="e">
        <f t="shared" si="8"/>
        <v>#REF!</v>
      </c>
    </row>
    <row r="31" spans="1:11" x14ac:dyDescent="0.25">
      <c r="A31" s="20"/>
    </row>
    <row r="53" spans="1:1" x14ac:dyDescent="0.25">
      <c r="A53" t="s">
        <v>76</v>
      </c>
    </row>
    <row r="54" spans="1:1" x14ac:dyDescent="0.25">
      <c r="A54" t="s">
        <v>77</v>
      </c>
    </row>
    <row r="55" spans="1:1" x14ac:dyDescent="0.25">
      <c r="A55" t="s">
        <v>78</v>
      </c>
    </row>
  </sheetData>
  <mergeCells count="2">
    <mergeCell ref="D6:E6"/>
    <mergeCell ref="D8:E8"/>
  </mergeCells>
  <conditionalFormatting sqref="B18:B19">
    <cfRule type="cellIs" dxfId="0" priority="1" operator="equal">
      <formula>0</formula>
    </cfRule>
  </conditionalFormatting>
  <pageMargins left="0.25" right="0.25" top="0.75" bottom="0.75" header="0.3" footer="0.3"/>
  <pageSetup paperSize="17" scale="82"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pageSetUpPr fitToPage="1"/>
  </sheetPr>
  <dimension ref="A2:P28"/>
  <sheetViews>
    <sheetView tabSelected="1" topLeftCell="C1" zoomScale="115" zoomScaleNormal="115" workbookViewId="0">
      <selection activeCell="G7" sqref="G7"/>
    </sheetView>
  </sheetViews>
  <sheetFormatPr defaultRowHeight="15" x14ac:dyDescent="0.25"/>
  <cols>
    <col min="1" max="1" width="48.140625" customWidth="1"/>
    <col min="2" max="2" width="21.7109375" bestFit="1" customWidth="1"/>
    <col min="3" max="3" width="6" customWidth="1"/>
    <col min="4" max="4" width="5.5703125" customWidth="1"/>
    <col min="5" max="5" width="27.7109375" customWidth="1"/>
    <col min="6" max="6" width="22.28515625" bestFit="1" customWidth="1"/>
    <col min="7" max="7" width="20.7109375" bestFit="1" customWidth="1"/>
    <col min="10" max="10" width="21.28515625" customWidth="1"/>
    <col min="12" max="12" width="22.5703125" customWidth="1"/>
    <col min="14" max="14" width="22.42578125" customWidth="1"/>
  </cols>
  <sheetData>
    <row r="2" spans="1:16" x14ac:dyDescent="0.25">
      <c r="J2" s="36" t="s">
        <v>95</v>
      </c>
      <c r="L2" s="36" t="s">
        <v>12</v>
      </c>
      <c r="N2" s="36" t="s">
        <v>96</v>
      </c>
    </row>
    <row r="3" spans="1:16" ht="18.75" x14ac:dyDescent="0.3">
      <c r="A3" s="33" t="s">
        <v>97</v>
      </c>
      <c r="B3" s="34"/>
      <c r="C3" s="34"/>
      <c r="D3" s="34"/>
      <c r="E3" s="34"/>
      <c r="J3" t="s">
        <v>98</v>
      </c>
      <c r="L3" t="s">
        <v>99</v>
      </c>
      <c r="N3" t="s">
        <v>100</v>
      </c>
      <c r="P3" t="s">
        <v>101</v>
      </c>
    </row>
    <row r="4" spans="1:16" x14ac:dyDescent="0.25">
      <c r="J4" t="s">
        <v>102</v>
      </c>
      <c r="L4" t="s">
        <v>100</v>
      </c>
      <c r="N4" t="s">
        <v>103</v>
      </c>
      <c r="P4" t="s">
        <v>104</v>
      </c>
    </row>
    <row r="5" spans="1:16" x14ac:dyDescent="0.25">
      <c r="A5" s="83" t="s">
        <v>49</v>
      </c>
      <c r="B5" s="84"/>
      <c r="E5" s="3" t="s">
        <v>105</v>
      </c>
      <c r="F5" s="37" t="s">
        <v>106</v>
      </c>
      <c r="G5" s="37" t="s">
        <v>107</v>
      </c>
      <c r="J5" t="s">
        <v>108</v>
      </c>
      <c r="L5" t="s">
        <v>103</v>
      </c>
    </row>
    <row r="6" spans="1:16" x14ac:dyDescent="0.25">
      <c r="A6" s="1" t="s">
        <v>55</v>
      </c>
      <c r="B6" s="2" t="s">
        <v>109</v>
      </c>
      <c r="E6" s="1" t="s">
        <v>110</v>
      </c>
      <c r="F6" s="75">
        <v>61604</v>
      </c>
      <c r="G6" s="45">
        <v>65272</v>
      </c>
      <c r="J6" t="s">
        <v>111</v>
      </c>
    </row>
    <row r="7" spans="1:16" x14ac:dyDescent="0.25">
      <c r="A7" s="1" t="s">
        <v>112</v>
      </c>
      <c r="B7" s="2"/>
      <c r="E7" s="1" t="s">
        <v>113</v>
      </c>
      <c r="F7" s="45">
        <v>4</v>
      </c>
      <c r="G7" s="45">
        <v>8</v>
      </c>
    </row>
    <row r="8" spans="1:16" x14ac:dyDescent="0.25">
      <c r="A8" s="1" t="s">
        <v>114</v>
      </c>
      <c r="B8" s="2" t="s">
        <v>115</v>
      </c>
      <c r="E8" s="6" t="s">
        <v>116</v>
      </c>
      <c r="F8" s="71">
        <f>IF(AND(F6&gt;0,F7&gt;0), F6/F7, "N/A")</f>
        <v>15401</v>
      </c>
      <c r="G8" s="71">
        <f>IF(AND(G6&gt;0,G7&gt;0), G6/G7, "N/A")</f>
        <v>8159</v>
      </c>
    </row>
    <row r="9" spans="1:16" x14ac:dyDescent="0.25">
      <c r="A9" s="1" t="s">
        <v>117</v>
      </c>
      <c r="B9" s="2">
        <v>2023</v>
      </c>
      <c r="E9" s="6" t="s">
        <v>118</v>
      </c>
      <c r="F9" s="72">
        <f>IF(AND(B17="Yes",B18&gt;1),B18,IF(AND(B17="No",B12="Urban freeway", OR(B11="Added capacity",B11="Grade separation",B11="ITS infrastructure")), 1.00822+0.00003696*F8, IF(AND(B17="No",OR(B11="Added capacity", B11="Grade separation", B11="ITS infrastructure", B11="Access management"),B13="Yes",B12="Urban principal arterial", B14="Urban principal arterial"), 1.18622+0.00003578*F8, IF(AND(B17="No",OR(B11="Added capacity", B11="Grade separation", B11="ITS infrastructure", B11="Access management"), B13="Yes",B12="Other urban street", B14="Other urban street"), 1.18825+0.00003508*F8, IF(AND(B17="No", B13="No", OR(B11="Added capacity", B11="Grade separation", B11="ITS infrastructure"), B12="Urban principal arterial"), 1.18622+0.00003578*F8, IF(AND(B17="No",B13="No", OR(B11="Added capacity", B11="Grade separation", B11="ITS infrastructure"), B12="Other urban street"), 1.18825+0.00003508*F8))))))</f>
        <v>1.73726778</v>
      </c>
      <c r="G9" s="72">
        <f>IF(AND(B10="Yes",B13="No",B15="No",B16="No",B11="Added capacity",B12="Urban freeway"),1.00822+0.00003696*G8,IF(AND(B10="Yes",B13="No",B15="No",B16="No",B11="Added capacity",B12="Urban principal arterial"),1.18622+0.00003578*G8,IF(AND(B10="Yes",B13="No",B15="No",B16="No",B11="Added capacity",B12="Other urban street"),1.18825+0.00003508*G8,IF(AND(B10="Yes",B13="Yes",B15="No",B16="No",OR(B11="Added capacity",B11="Access management"),B12="Urban principal arterial",B14="Urban principal arterial"),1.18622+0.00003578*G8-Calculations!B21*(Calculations!J4-1),IF(AND(B10="Yes",B13="Yes",B15="No",B16="No",OR(B11="Added capacity",B11="Access management"),B12="Other urban street",B14="Other urban street"),1.18825+0.00003508*G8-Calculations!B22*(Calculations!J4-1),IF(AND(B10="Yes",B15="Yes",B13="No",B16="No",OR(B11="Added capacity",B11="Grade separation"),B12="Urban freeway"),1.00822+0.00003696*G8-Calculations!B23*(Calculations!J4-1),IF(AND(B10="Yes",B15="Yes",B13="No",B16="No",OR(B11="Added capacity",B11="Grade separation"),B12="Urban principal arterial"),1.18622+0.00003578*G8-Calculations!B23*(Calculations!J4-1),IF(AND(B10="Yes",B15="Yes",B13="No",B16="No",OR(B11="Added capacity",B11="Grade separation"),B12="Other urban street"),1.18825+0.00003508*G8-Calculations!B23*(Calculations!J4-1),IF(AND(B10="Yes",B16="Yes",B13="No",B15="No",OR(B11="Added capacity",B11="ITS infrastructure"),B12="Urban freeway"),1.00822+0.00003696*G8-Calculations!B24*(Calculations!J4-1),IF(AND(B10="Yes",B16="Yes",B13="No",B15="No",OR(B11="Added capacity",B11="ITS infrastructure"),B12="Urban principal arterial"),1.18622+0.00003578*G8-Calculations!B24*(Calculations!J4-1),IF(AND(B10="Yes",B15="Yes",B13="No",B16="No",OR(B11="Added capacity",B11="ITS infrastructure"),B12="Other urban street"),1.18825+0.00003508*G8-Calculations!B24*(Calculations!J4-1),IF(AND(B10="Yes",B13="Yes",B15="Yes",B16="No",OR(B11="Added capacity",B11="Access management",B11="Grade separation"),B12="Urban principal arterial",B14="Urban principal arterial"),1.18622+0.00003578*G8-Calculations!B21*(Calculations!J4-1)-Calculations!B23*(Calculations!J4-1),IF(AND(B10="Yes",B13="Yes",B15="Yes",B16="No",OR(B11="Added capacity",B11="Access management",B11="Grade separation"),B12="Other urban street",B14="Other urban street"),1.18825+0.00003508*G8-Calculations!B22*(Calculations!J4-1)-Calculations!B23*(Calculations!J4-1),IF(AND(B10="Yes",B13="Yes",B15="No",B16="Yes",OR(B11="Added capacity",B11="Access management",B11="ITS infrastructure"),B12="Urban principal arterial",B14="Urban principal arterial"),1.18622+0.00003578*G8-Calculations!B21*(Calculations!J4-1)-Calculations!B24*(Calculations!J4-1),IF(AND(B10="Yes",B13="Yes",B15="No",B16="Yes",OR(B11="Added capacity",B11="Access management",B11="ITS infrastructure"),B12="Other urban street",B14="Other urban street"),1.18825+0.00003508*G8-Calculations!B22*(Calculations!J4-1)-Calculations!B24*(Calculations!J4-1),IF(AND(B10="Yes",B16="Yes",B13="No",B15="Yes",OR(B11="Added capacity",B11="Grade separation",B11="ITS infrastructure"),B12="Urban freeway"),1.00822+0.00003696*G8-Calculations!B23*(Calculations!J4-1)-Calculations!B24*(Calculations!J4-1),IF(AND(B10="Yes",B16="Yes",B13="No",B15="Yes",OR(B11="Added capacity",B11="Grade separation",B11="ITS infrastructure"),B12="Urban principal arterial"),1.18622+0.00003578*G8-Calculations!B23*(Calculations!J4-1)-Calculations!B24*(Calculations!J4-1),IF(AND(B10="Yes",B15="Yes",B13="No",B16="Yes",OR(B11="Added capacity",B11="Grade separation",B11="ITS infrastructure"),B12="Other urban street"),1.18825+0.00003508*G8-Calculations!B23*(Calculations!J4-1)-Calculations!B24*(Calculations!J4-1),IF(AND(B10="Yes",B13="Yes",B15="Yes",B16="Yes",OR(B11="Added capacity",B11="Access management",B11="Grade separation",B11="ITS infrastructure"),B12="Urban principal arterial",B14="Urban principal arterial"),1.18622+0.00003578*G8-Calculations!B21*(Calculations!J4-1)-Calculations!B23*(Calculations!J4-1)-Calculations!B24*(Calculations!J4-1),IF(AND(B10="Yes",B13="Yes",B15="Yes",B16="Yes",OR(B11="Added capacity",B11="Access management",B11="Grade separation",B11="ITS infrastructure"),B12="Other urban street",B14="Other urban street"),1.18825+0.00003508*G8-B29*(O4-1)-Calculations!B23*(Calculations!J4-1)-Calculations!B24*(Calculations!J4-1),IF(AND(B10="No",B13="Yes",B15="No",B16="No",B11="Access management",B12="Urban principal arterial",B14="Urban principal arterial"),1.18622+0.00003578*G8-Calculations!B21*(Calculations!J4-1),IF(AND(B10="No",B13="Yes",B15="No",B16="No",B11="Access management",B12="Other urban street",B14="Other urban street"),1.18825+0.00003508*G8-Calculations!B22*(Calculations!J4-1),IF(AND(B10="No",B13="Yes",B15="Yes",B16="No",OR(B11="Access management",B11="Grade separation"),B12="Urban principal arterial",B14="Urban principal arterial"),1.18622+0.00003578*G8-Calculations!B21*(Calculations!J4-1)-Calculations!B23*(Calculations!J4-1),IF(AND(B10="No",B13="Yes",B15="Yes",B16="No",OR(B11="Access management",B11="Grade separation"),B12="Other urban street",B14="Other urban street"),1.18825+0.00003508*G8-Calculations!B22*(Calculations!J4-1)-Calculations!B23*(Calculations!J4-1),IF(AND(B10="No",B13="Yes",B15="No",B16="Yes",OR(B11="Access management",B11="ITS infrastructure"),B12="Urban principal arterial",B14="Urban principal arterial"),1.18622+0.00003578*G8-Calculations!B21*(Calculations!J4-1)-Calculations!B24*(Calculations!J4-1),IF(AND(B10="No",B13="Yes",B15="No",B16="Yes",OR(B11="Access management",B11="ITS infrastructure"),B12="Other urban street",B14="Other urban street"),1.18825+0.00003508*G8-Calculations!B22*(Calculations!J4-1)-Calculations!B24*(Calculations!J4-1),IF(AND(B10="No",B13="Yes",B15="Yes",B16="Yes",OR(B11="Access management",B11="Grade separation",B11="ITS infrastructure"),B12="Urban principal arterial",B14="Urban principal arterial"),1.18622+0.00003578*G8-Calculations!B21*(Calculations!J4-1)-Calculations!B23*(Calculations!J4-1)-Calculations!B24*(Calculations!J4-1),IF(AND(B10="No",B13="Yes",B15="Yes",B16="Yes",OR(B11="Access management",B11="Grade separation",B11="ITS infrastructure"),B12="Other urban street",B14="Other urban street"),1.18825+0.00003508*G8-Calculations!B22*(Calculations!J4-1)-Calculations!B23*(Calculations!J4-1)-Calculations!B24*(Calculations!J4-1),IF(AND(B10="No",B13="No",B15="Yes",B16="No",B11="Grade separation",B12="Urban freeway"),1.00822+0.00003696*G8-Calculations!B23*(Calculations!J4-1),IF(AND(B10="No",B13="No",B15="Yes",B16="No",B11="Grade separation",B12="Urban principal arterial"),1.18622+0.00003578*G8-Calculations!B23*(Calculations!J4-1),IF(AND(B10="No",B13="No",B15="Yes",B16="No",B11="Grade separation",B12="Other urban street"),1.18825+0.00003508*G8-Calculations!B23*(Calculations!J4-1),IF(AND(B10="No",B16="Yes",B13="No",B15="Yes",B12="Urban freeway",OR(B11="Grade separation",B11="ITS infrastructure")),1.00822+0.00003696*G8-Calculations!B23*(Calculations!J4-1)-Calculations!B24*(Calculations!J4-1),IF(AND(B10="No",B16="Yes",B13="No",B15="Yes",B12="Urban principal arterial",OR(B11="Grade separation",B11="ITS infrastructure")),1.18622+0.00003578*G8-Calculations!B23*(Calculations!J4-1)-Calculations!B24*(Calculations!J4-1),IF(AND(B10="No",B16="Yes",B13="No",B15="Yes",B12="Other urban street",OR(B11="Grade separation",B11="ITS infrastructure")),1.18825+0.00003508*G8-Calculations!B23*(Calculations!J4-1)-Calculations!B24*(Calculations!J4-1),IF(AND(B10="No",B13="No",B15="No",B16="Yes",B12="Urban freeway",B11="ITS infrastructure"),1.00822+0.00003696*G8-Calculations!B24*(Calculations!J4-1),IF(AND(B10="No",B13="No",B15="No",B16="Yes",B12="Urban principal arterial",B11="ITS infrastructure"),1.18622+0.00003578*G8-Calculations!B24*(Calculations!J4-1),IF(AND(B10="No",B13="No",B15="No",B16="Yes",B12="Other urban street",B11="ITS infrastructure"),1.18825+0.00003508*G8-Calculations!B24*(Calculations!J4-1))))))))))))))))))))))))))))))))))))))</f>
        <v>1.0947697744</v>
      </c>
    </row>
    <row r="10" spans="1:16" x14ac:dyDescent="0.25">
      <c r="A10" s="1" t="s">
        <v>6</v>
      </c>
      <c r="B10" s="45" t="s">
        <v>119</v>
      </c>
      <c r="E10" s="6" t="s">
        <v>120</v>
      </c>
      <c r="F10" s="73">
        <f>IF(OR(F9=FALSE,G9=FALSE),"N/A",(F9-G9))</f>
        <v>0.64249800560000003</v>
      </c>
      <c r="G10" s="74"/>
    </row>
    <row r="11" spans="1:16" x14ac:dyDescent="0.25">
      <c r="A11" s="1" t="s">
        <v>9</v>
      </c>
      <c r="B11" s="45" t="s">
        <v>108</v>
      </c>
      <c r="E11" s="6" t="s">
        <v>121</v>
      </c>
      <c r="F11" s="85">
        <f>IF(OR(F9=FALSE,G9=FALSE,F10=FALSE), "N/A", IF(OR(F10=0.1,AND(0.01&lt;F10,F10&lt;0.1)), 5, (IF(OR(F10=0.2,AND(0.1&lt;F10,F10&lt;0.2)), 10, (IF(OR(F10=0.3,AND(0.2&lt;F10,F10&lt;0.3)), 15, IF(F10&gt;0.3, 20,"N/A")))))))</f>
        <v>20</v>
      </c>
      <c r="G11" s="86"/>
      <c r="H11" s="87"/>
      <c r="I11" s="88"/>
      <c r="J11" s="88"/>
      <c r="K11" s="88"/>
      <c r="L11" s="88"/>
    </row>
    <row r="12" spans="1:16" x14ac:dyDescent="0.25">
      <c r="A12" s="1" t="s">
        <v>12</v>
      </c>
      <c r="B12" s="45" t="s">
        <v>100</v>
      </c>
      <c r="H12" s="87"/>
      <c r="I12" s="88"/>
      <c r="J12" s="88"/>
      <c r="K12" s="88"/>
      <c r="L12" s="88"/>
    </row>
    <row r="13" spans="1:16" x14ac:dyDescent="0.25">
      <c r="A13" s="1" t="s">
        <v>15</v>
      </c>
      <c r="B13" s="45" t="s">
        <v>119</v>
      </c>
    </row>
    <row r="14" spans="1:16" x14ac:dyDescent="0.25">
      <c r="A14" s="1" t="s">
        <v>18</v>
      </c>
      <c r="B14" s="45" t="s">
        <v>100</v>
      </c>
    </row>
    <row r="15" spans="1:16" x14ac:dyDescent="0.25">
      <c r="A15" s="1" t="s">
        <v>22</v>
      </c>
      <c r="B15" s="45" t="s">
        <v>101</v>
      </c>
    </row>
    <row r="16" spans="1:16" x14ac:dyDescent="0.25">
      <c r="A16" s="1" t="s">
        <v>25</v>
      </c>
      <c r="B16" s="45" t="s">
        <v>101</v>
      </c>
    </row>
    <row r="17" spans="1:6" x14ac:dyDescent="0.25">
      <c r="A17" s="1" t="s">
        <v>28</v>
      </c>
      <c r="B17" s="45" t="s">
        <v>104</v>
      </c>
      <c r="F17" s="38"/>
    </row>
    <row r="18" spans="1:6" x14ac:dyDescent="0.25">
      <c r="A18" s="1" t="s">
        <v>122</v>
      </c>
      <c r="B18" s="45"/>
    </row>
    <row r="19" spans="1:6" x14ac:dyDescent="0.25">
      <c r="A19" s="1" t="s">
        <v>34</v>
      </c>
      <c r="B19" s="2"/>
    </row>
    <row r="28" spans="1:6" x14ac:dyDescent="0.25">
      <c r="A28" s="20"/>
    </row>
  </sheetData>
  <sheetProtection algorithmName="SHA-512" hashValue="ixw3MsKANjEGOO07KxcAyWAt7aQeTVRtvtcEMWRnAQmd3y5CmVoyYHNBRjZ6NxAH6X3gM9xLut+Sk16RcCjElw==" saltValue="c/wIEZifUrcna8LRtVExDA==" spinCount="100000" sheet="1" objects="1" scenarios="1"/>
  <mergeCells count="4">
    <mergeCell ref="A5:B5"/>
    <mergeCell ref="F11:G11"/>
    <mergeCell ref="H11:L11"/>
    <mergeCell ref="H12:L12"/>
  </mergeCells>
  <dataValidations count="4">
    <dataValidation type="list" allowBlank="1" showInputMessage="1" showErrorMessage="1" sqref="B11" xr:uid="{00000000-0002-0000-0300-000000000000}">
      <formula1>$J$3:$J$6</formula1>
    </dataValidation>
    <dataValidation type="list" allowBlank="1" showInputMessage="1" showErrorMessage="1" sqref="B12" xr:uid="{00000000-0002-0000-0300-000001000000}">
      <formula1>$L$3:$L$5</formula1>
    </dataValidation>
    <dataValidation type="list" allowBlank="1" showInputMessage="1" showErrorMessage="1" sqref="B13 B15:B17 B10" xr:uid="{00000000-0002-0000-0300-000002000000}">
      <formula1>$P$3:$P$4</formula1>
    </dataValidation>
    <dataValidation type="list" allowBlank="1" showInputMessage="1" showErrorMessage="1" sqref="B14" xr:uid="{00000000-0002-0000-0300-000003000000}">
      <formula1>$N$3:$N$4</formula1>
    </dataValidation>
  </dataValidations>
  <pageMargins left="0.25" right="0.25" top="0.75" bottom="0.75" header="0.3" footer="0.3"/>
  <pageSetup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sheetPr>
  <dimension ref="A1:K30"/>
  <sheetViews>
    <sheetView zoomScale="85" zoomScaleNormal="85" workbookViewId="0">
      <selection activeCell="E46" sqref="E46"/>
    </sheetView>
  </sheetViews>
  <sheetFormatPr defaultRowHeight="15" x14ac:dyDescent="0.25"/>
  <cols>
    <col min="1" max="1" width="45.140625" bestFit="1" customWidth="1"/>
    <col min="2" max="2" width="33.42578125" customWidth="1"/>
    <col min="3" max="3" width="5.28515625" customWidth="1"/>
    <col min="4" max="5" width="25.5703125" customWidth="1"/>
    <col min="6" max="6" width="17.140625" customWidth="1"/>
    <col min="7" max="7" width="4.5703125" customWidth="1"/>
    <col min="8" max="8" width="9.28515625" bestFit="1" customWidth="1"/>
    <col min="9" max="9" width="16.85546875" style="47" bestFit="1" customWidth="1"/>
    <col min="10" max="10" width="19.5703125" customWidth="1"/>
    <col min="11" max="11" width="17.85546875" customWidth="1"/>
  </cols>
  <sheetData>
    <row r="1" spans="1:11" x14ac:dyDescent="0.25">
      <c r="J1" s="36"/>
      <c r="K1" s="36"/>
    </row>
    <row r="3" spans="1:11" ht="30" x14ac:dyDescent="0.25">
      <c r="A3" s="43" t="s">
        <v>123</v>
      </c>
      <c r="B3" s="44"/>
      <c r="D3" s="11" t="s">
        <v>70</v>
      </c>
      <c r="E3" s="19" t="s">
        <v>124</v>
      </c>
      <c r="F3" s="19" t="s">
        <v>51</v>
      </c>
      <c r="H3" s="10" t="s">
        <v>52</v>
      </c>
      <c r="I3" s="48" t="s">
        <v>125</v>
      </c>
      <c r="J3" s="65" t="s">
        <v>126</v>
      </c>
      <c r="K3" s="65" t="s">
        <v>127</v>
      </c>
    </row>
    <row r="4" spans="1:11" x14ac:dyDescent="0.25">
      <c r="A4" s="39" t="s">
        <v>128</v>
      </c>
      <c r="B4" s="42" t="b">
        <f>IF(AND('Inputs &amp; Outputs'!B11="Added capacity",'Inputs &amp; Outputs'!B17="Yes",'Inputs &amp; Outputs'!B18&gt;1),'Inputs &amp; Outputs'!F9-'Inputs &amp; Outputs'!G9,IF(AND('Inputs &amp; Outputs'!B17="No",'Inputs &amp; Outputs'!B11="Added capacity",'Inputs &amp; Outputs'!B12="Urban freeway"),(1.00822+0.00003696*'Inputs &amp; Outputs'!F8)-(1.00822+0.00003696*'Inputs &amp; Outputs'!G8)))</f>
        <v>0</v>
      </c>
      <c r="D4" s="12" t="s">
        <v>129</v>
      </c>
      <c r="E4" s="68">
        <f>+J4</f>
        <v>1.73726778</v>
      </c>
      <c r="F4" s="69">
        <f>+K4</f>
        <v>1.0947697744</v>
      </c>
      <c r="H4" s="32">
        <v>2018</v>
      </c>
      <c r="I4" s="49" t="e">
        <f>MIN(#REF!,1)</f>
        <v>#REF!</v>
      </c>
      <c r="J4" s="66">
        <f>IF(AND('Inputs &amp; Outputs'!B17="Yes",'Inputs &amp; Outputs'!B18&gt;1),'Inputs &amp; Outputs'!B18,IF(AND('Inputs &amp; Outputs'!B17="No",'Inputs &amp; Outputs'!B12="Urban freeway",OR('Inputs &amp; Outputs'!B11="Added capacity",'Inputs &amp; Outputs'!B11="Grade separation",'Inputs &amp; Outputs'!B11="ITS infrastructure")),1.00822+0.00003696*'Inputs &amp; Outputs'!F8,IF(AND('Inputs &amp; Outputs'!B17="No",OR('Inputs &amp; Outputs'!B11="Added capacity",'Inputs &amp; Outputs'!B11="Grade separation",'Inputs &amp; Outputs'!B11="ITS infrastructure",'Inputs &amp; Outputs'!B11="Access management"),'Inputs &amp; Outputs'!B13="Yes",'Inputs &amp; Outputs'!B12="Urban principal arterial",'Inputs &amp; Outputs'!B14="Urban principal arterial"),1.18622+0.00003578*'Inputs &amp; Outputs'!F8,IF(AND('Inputs &amp; Outputs'!B17="No",OR('Inputs &amp; Outputs'!B11="Added capacity",'Inputs &amp; Outputs'!B11="Grade separation",'Inputs &amp; Outputs'!B11="ITS infrastructure",'Inputs &amp; Outputs'!B11="Access management"),'Inputs &amp; Outputs'!B13="Yes",'Inputs &amp; Outputs'!B12="Other urban street",'Inputs &amp; Outputs'!B14="Other urban street"),1.18825+0.00003508*'Inputs &amp; Outputs'!F8,IF(AND('Inputs &amp; Outputs'!B17="No",'Inputs &amp; Outputs'!B13="No",OR('Inputs &amp; Outputs'!B11="Added capacity",'Inputs &amp; Outputs'!B11="Grade separation",'Inputs &amp; Outputs'!B11="ITS infrastructure"),'Inputs &amp; Outputs'!B12="Urban principal arterial"),1.18622+0.00003578*'Inputs &amp; Outputs'!F8,IF(AND('Inputs &amp; Outputs'!B17="No",'Inputs &amp; Outputs'!B13="No",OR('Inputs &amp; Outputs'!B11="Added capacity",'Inputs &amp; Outputs'!B11="Grade separation",'Inputs &amp; Outputs'!B11="ITS infrastructure"),'Inputs &amp; Outputs'!B12="Other urban street"),1.18825+0.00003508*'Inputs &amp; Outputs'!F8))))))</f>
        <v>1.73726778</v>
      </c>
      <c r="K4" s="67">
        <f>'Inputs &amp; Outputs'!G9</f>
        <v>1.0947697744</v>
      </c>
    </row>
    <row r="5" spans="1:11" x14ac:dyDescent="0.25">
      <c r="A5" s="39" t="s">
        <v>130</v>
      </c>
      <c r="B5" s="42" t="b">
        <f>IF(AND('Inputs &amp; Outputs'!B11="Added capacity",'Inputs &amp; Outputs'!B17="Yes",'Inputs &amp; Outputs'!B18&gt;1),'Inputs &amp; Outputs'!F9-'Inputs &amp; Outputs'!G9,IF(AND('Inputs &amp; Outputs'!B17="No",'Inputs &amp; Outputs'!B11="Added capacity",'Inputs &amp; Outputs'!B12="Urban principal arterial"),(1.18622+0.00003578*'Inputs &amp; Outputs'!F8)-(1.18622+0.00003578*'Inputs &amp; Outputs'!G8)))</f>
        <v>0</v>
      </c>
      <c r="H5" s="62"/>
      <c r="I5" s="63"/>
      <c r="J5" s="64"/>
      <c r="K5" s="64"/>
    </row>
    <row r="6" spans="1:11" x14ac:dyDescent="0.25">
      <c r="A6" s="39" t="s">
        <v>131</v>
      </c>
      <c r="B6" s="42" t="b">
        <f>IF(AND('Inputs &amp; Outputs'!B11="Added capacity",'Inputs &amp; Outputs'!B17="Yes",'Inputs &amp; Outputs'!B18&gt;1),'Inputs &amp; Outputs'!F9-'Inputs &amp; Outputs'!G9,IF(AND('Inputs &amp; Outputs'!B17="No",'Inputs &amp; Outputs'!B11="Added capacity",'Inputs &amp; Outputs'!B12="Other urban street"),(1.18825+0.00003508*'Inputs &amp; Outputs'!F8)-(1.18825+0.00003508*'Inputs &amp; Outputs'!G8)))</f>
        <v>0</v>
      </c>
      <c r="H6" s="62"/>
      <c r="I6" s="63"/>
      <c r="J6" s="64"/>
      <c r="K6" s="64"/>
    </row>
    <row r="7" spans="1:11" x14ac:dyDescent="0.25">
      <c r="A7" s="36" t="s">
        <v>132</v>
      </c>
      <c r="B7" s="42" t="str">
        <f>IF(AND('Inputs &amp; Outputs'!B11="Access management", 'Inputs &amp; Outputs'!B13="Yes", 'Inputs &amp; Outputs'!B14="Urban principal arterial"),B21*(J4-1),"FALSE")</f>
        <v>FALSE</v>
      </c>
      <c r="H7" s="62"/>
      <c r="I7" s="63"/>
      <c r="J7" s="64"/>
      <c r="K7" s="64"/>
    </row>
    <row r="8" spans="1:11" x14ac:dyDescent="0.25">
      <c r="A8" s="36" t="s">
        <v>133</v>
      </c>
      <c r="B8" s="42" t="str">
        <f>IF(AND('Inputs &amp; Outputs'!B11="Access management", 'Inputs &amp; Outputs'!B13="Yes",'Inputs &amp; Outputs'!B12="Other urban street", 'Inputs &amp; Outputs'!B14="Other urban street"),B22*(J4-1),"FALSE")</f>
        <v>FALSE</v>
      </c>
      <c r="H8" s="62"/>
      <c r="I8" s="63"/>
      <c r="J8" s="64"/>
      <c r="K8" s="64"/>
    </row>
    <row r="9" spans="1:11" x14ac:dyDescent="0.25">
      <c r="A9" s="36" t="s">
        <v>108</v>
      </c>
      <c r="B9" s="42">
        <f>IF('Inputs &amp; Outputs'!B11="Grade separation",B23*(J4-1),"FALSE")</f>
        <v>0.18431694500000001</v>
      </c>
      <c r="H9" s="62"/>
      <c r="I9" s="63"/>
      <c r="J9" s="64"/>
      <c r="K9" s="64"/>
    </row>
    <row r="10" spans="1:11" x14ac:dyDescent="0.25">
      <c r="A10" s="36" t="s">
        <v>134</v>
      </c>
      <c r="B10" s="42" t="str">
        <f>IF('Inputs &amp; Outputs'!B11="ITS Infrastructure",B24*(J4-1),"FALSE")</f>
        <v>FALSE</v>
      </c>
      <c r="H10" s="62"/>
      <c r="I10" s="63"/>
      <c r="J10" s="64"/>
      <c r="K10" s="64"/>
    </row>
    <row r="11" spans="1:11" x14ac:dyDescent="0.25">
      <c r="H11" s="62"/>
      <c r="I11" s="63"/>
      <c r="J11" s="64"/>
      <c r="K11" s="64"/>
    </row>
    <row r="12" spans="1:11" x14ac:dyDescent="0.25">
      <c r="H12" s="62"/>
      <c r="I12" s="63"/>
      <c r="J12" s="64"/>
      <c r="K12" s="64"/>
    </row>
    <row r="13" spans="1:11" x14ac:dyDescent="0.25">
      <c r="H13" s="62"/>
      <c r="I13" s="63"/>
      <c r="J13" s="64"/>
      <c r="K13" s="64"/>
    </row>
    <row r="14" spans="1:11" x14ac:dyDescent="0.25">
      <c r="H14" s="62"/>
      <c r="I14" s="63"/>
      <c r="J14" s="64"/>
      <c r="K14" s="64"/>
    </row>
    <row r="15" spans="1:11" x14ac:dyDescent="0.25">
      <c r="A15" s="43" t="s">
        <v>135</v>
      </c>
      <c r="B15" s="36"/>
      <c r="H15" s="62"/>
      <c r="I15" s="63"/>
      <c r="J15" s="64"/>
      <c r="K15" s="64"/>
    </row>
    <row r="16" spans="1:11" x14ac:dyDescent="0.25">
      <c r="A16" s="36" t="s">
        <v>136</v>
      </c>
      <c r="B16" s="41" t="s">
        <v>137</v>
      </c>
      <c r="H16" s="62"/>
      <c r="I16" s="63"/>
      <c r="J16" s="64"/>
      <c r="K16" s="64"/>
    </row>
    <row r="17" spans="1:11" x14ac:dyDescent="0.25">
      <c r="A17" s="36" t="s">
        <v>138</v>
      </c>
      <c r="B17" s="41" t="s">
        <v>139</v>
      </c>
      <c r="H17" s="62"/>
      <c r="I17" s="63"/>
      <c r="J17" s="64"/>
      <c r="K17" s="64"/>
    </row>
    <row r="18" spans="1:11" x14ac:dyDescent="0.25">
      <c r="A18" s="36" t="s">
        <v>140</v>
      </c>
      <c r="B18" s="41" t="s">
        <v>141</v>
      </c>
      <c r="H18" s="62"/>
      <c r="I18" s="63"/>
      <c r="J18" s="64"/>
      <c r="K18" s="64"/>
    </row>
    <row r="19" spans="1:11" x14ac:dyDescent="0.25">
      <c r="H19" s="62"/>
      <c r="I19" s="63"/>
      <c r="J19" s="64"/>
      <c r="K19" s="64"/>
    </row>
    <row r="20" spans="1:11" x14ac:dyDescent="0.25">
      <c r="A20" s="43" t="s">
        <v>142</v>
      </c>
      <c r="B20" s="36"/>
      <c r="H20" s="62"/>
      <c r="I20" s="63"/>
      <c r="J20" s="64"/>
      <c r="K20" s="64"/>
    </row>
    <row r="21" spans="1:11" x14ac:dyDescent="0.25">
      <c r="A21" s="36" t="s">
        <v>132</v>
      </c>
      <c r="B21" s="40">
        <v>0.15</v>
      </c>
      <c r="H21" s="62"/>
      <c r="I21" s="63"/>
      <c r="J21" s="64"/>
      <c r="K21" s="64"/>
    </row>
    <row r="22" spans="1:11" x14ac:dyDescent="0.25">
      <c r="A22" s="36" t="s">
        <v>133</v>
      </c>
      <c r="B22" s="40">
        <v>0.12</v>
      </c>
      <c r="H22" s="62"/>
      <c r="I22" s="63"/>
      <c r="J22" s="64"/>
      <c r="K22" s="64"/>
    </row>
    <row r="23" spans="1:11" x14ac:dyDescent="0.25">
      <c r="A23" s="36" t="s">
        <v>108</v>
      </c>
      <c r="B23" s="40">
        <v>0.25</v>
      </c>
      <c r="H23" s="62"/>
      <c r="I23" s="63"/>
      <c r="J23" s="64"/>
      <c r="K23" s="64"/>
    </row>
    <row r="24" spans="1:11" x14ac:dyDescent="0.25">
      <c r="A24" s="36" t="s">
        <v>134</v>
      </c>
      <c r="B24" s="40">
        <v>0.12</v>
      </c>
      <c r="H24" s="62"/>
      <c r="I24" s="63"/>
      <c r="J24" s="64"/>
      <c r="K24" s="64"/>
    </row>
    <row r="25" spans="1:11" x14ac:dyDescent="0.25">
      <c r="H25" s="62"/>
      <c r="I25" s="63"/>
      <c r="J25" s="64"/>
      <c r="K25" s="64"/>
    </row>
    <row r="26" spans="1:11" x14ac:dyDescent="0.25">
      <c r="H26" s="62"/>
      <c r="I26" s="63"/>
      <c r="J26" s="64"/>
      <c r="K26" s="64"/>
    </row>
    <row r="29" spans="1:11" x14ac:dyDescent="0.25">
      <c r="A29" s="46" t="s">
        <v>143</v>
      </c>
    </row>
    <row r="30" spans="1:11" x14ac:dyDescent="0.25">
      <c r="A30" s="35" t="s">
        <v>144</v>
      </c>
    </row>
  </sheetData>
  <sheetProtection algorithmName="SHA-512" hashValue="ocCGkuelKS3n2nG+oFcrgNlkitu6UFapvHqzkupkYiUKlqRULwVJ6hsLwyc3PpDyEpdjFSQY6sa6oTl3W00azQ==" saltValue="k5u662SY8x+rChrXELUqrQ==" spinCount="100000" sheet="1" objects="1" scenarios="1"/>
  <hyperlinks>
    <hyperlink ref="A48" r:id="rId1" display="https://policy.tti.tamu.edu/congestion/estimating-congestion-benefits-of-transportation-projects-with-fixit-2-0/" xr:uid="{00000000-0004-0000-0400-000000000000}"/>
  </hyperlinks>
  <pageMargins left="0.25" right="0.25" top="0.75" bottom="0.75" header="0.3" footer="0.3"/>
  <pageSetup paperSize="3" scale="270" fitToHeight="0" orientation="landscape"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8D82EE78E06404EA538E3F82A7090E4" ma:contentTypeVersion="" ma:contentTypeDescription="Create a new document." ma:contentTypeScope="" ma:versionID="695081604584c49242f0244be0f6158d">
  <xsd:schema xmlns:xsd="http://www.w3.org/2001/XMLSchema" xmlns:xs="http://www.w3.org/2001/XMLSchema" xmlns:p="http://schemas.microsoft.com/office/2006/metadata/properties" xmlns:ns2="B5D90540-3F5E-474C-9A86-D177C8B4CD2B" xmlns:ns3="bb691747-8bc2-4259-b27e-e7a3fc70b31c" targetNamespace="http://schemas.microsoft.com/office/2006/metadata/properties" ma:root="true" ma:fieldsID="7214304002f18efb845a14d99f9d66ee" ns2:_="" ns3:_="">
    <xsd:import namespace="B5D90540-3F5E-474C-9A86-D177C8B4CD2B"/>
    <xsd:import namespace="bb691747-8bc2-4259-b27e-e7a3fc70b31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DateTaken" minOccurs="0"/>
                <xsd:element ref="ns3:SharedWithUsers" minOccurs="0"/>
                <xsd:element ref="ns3:SharedWithDetail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5D90540-3F5E-474C-9A86-D177C8B4CD2B"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MediaServiceAutoTags" ma:description="" ma:internalName="MediaServiceAutoTags" ma:readOnly="true">
      <xsd:simpleType>
        <xsd:restriction base="dms:Text"/>
      </xsd:simpleType>
    </xsd:element>
    <xsd:element name="MediaServiceDateTaken" ma:index="11" nillable="true" ma:displayName="MediaServiceDateTaken" ma:description="" ma:hidden="true" ma:internalName="MediaServiceDateTaken"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b691747-8bc2-4259-b27e-e7a3fc70b31c"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A635A0D-69FD-419E-8E8B-1B28621473B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5D90540-3F5E-474C-9A86-D177C8B4CD2B"/>
    <ds:schemaRef ds:uri="bb691747-8bc2-4259-b27e-e7a3fc70b31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F03EE1D-6C3D-45E1-A365-D87737FB6BB6}">
  <ds:schemaRefs>
    <ds:schemaRef ds:uri="http://schemas.microsoft.com/sharepoint/v3/contenttype/forms"/>
  </ds:schemaRefs>
</ds:datastoreItem>
</file>

<file path=customXml/itemProps3.xml><?xml version="1.0" encoding="utf-8"?>
<ds:datastoreItem xmlns:ds="http://schemas.openxmlformats.org/officeDocument/2006/customXml" ds:itemID="{568F3975-5566-466E-9187-75D56AD84535}">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B5D90540-3F5E-474C-9A86-D177C8B4CD2B"/>
    <ds:schemaRef ds:uri="http://purl.org/dc/terms/"/>
    <ds:schemaRef ds:uri="http://schemas.openxmlformats.org/package/2006/metadata/core-properties"/>
    <ds:schemaRef ds:uri="bb691747-8bc2-4259-b27e-e7a3fc70b31c"/>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9</vt:i4>
      </vt:variant>
    </vt:vector>
  </HeadingPairs>
  <TitlesOfParts>
    <vt:vector size="14" baseType="lpstr">
      <vt:lpstr>Instructions</vt:lpstr>
      <vt:lpstr>ITS Delay Worksheet</vt:lpstr>
      <vt:lpstr>Emissions Reduction Worksheet</vt:lpstr>
      <vt:lpstr>Inputs &amp; Outputs</vt:lpstr>
      <vt:lpstr>Calculations</vt:lpstr>
      <vt:lpstr>Application_ID_Number</vt:lpstr>
      <vt:lpstr>Name</vt:lpstr>
      <vt:lpstr>Calculations!Print_Area</vt:lpstr>
      <vt:lpstr>'Emissions Reduction Worksheet'!Print_Area</vt:lpstr>
      <vt:lpstr>'Inputs &amp; Outputs'!Print_Area</vt:lpstr>
      <vt:lpstr>Instructions!Print_Area</vt:lpstr>
      <vt:lpstr>'ITS Delay Worksheet'!Print_Area</vt:lpstr>
      <vt:lpstr>Sponsor_ID_Number__CSJ__etc.</vt:lpstr>
      <vt:lpstr>Year_Open_to_Traffic?</vt:lpstr>
    </vt:vector>
  </TitlesOfParts>
  <Manager/>
  <Company>Houston-Galveston Area Council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wurdlow</dc:creator>
  <cp:keywords/>
  <dc:description/>
  <cp:lastModifiedBy>Lauren Osborne</cp:lastModifiedBy>
  <cp:revision/>
  <dcterms:created xsi:type="dcterms:W3CDTF">2012-07-25T15:48:32Z</dcterms:created>
  <dcterms:modified xsi:type="dcterms:W3CDTF">2018-10-29T21:15:46Z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0x01010028D82EE78E06404EA538E3F82A7090E4</vt:lpwstr>
  </property>
</Properties>
</file>