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40_HW_SH288/"/>
    </mc:Choice>
  </mc:AlternateContent>
  <xr:revisionPtr revIDLastSave="0" documentId="10_ncr:100000_{DBB4C624-56B3-46DF-96A9-26E7C03B055B}" xr6:coauthVersionLast="31" xr6:coauthVersionMax="40"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17"/>
</workbook>
</file>

<file path=xl/calcChain.xml><?xml version="1.0" encoding="utf-8"?>
<calcChain xmlns="http://schemas.openxmlformats.org/spreadsheetml/2006/main">
  <c r="B19" i="11" l="1"/>
  <c r="G11" i="19"/>
  <c r="G31" i="19"/>
  <c r="G4" i="19"/>
  <c r="C11" i="19"/>
  <c r="C10" i="19"/>
  <c r="H28" i="19" s="1"/>
  <c r="C9" i="19"/>
  <c r="H6" i="19" s="1"/>
  <c r="H21"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I8" i="19"/>
  <c r="I26" i="19"/>
  <c r="I27" i="19"/>
  <c r="I12" i="19"/>
  <c r="I21" i="19"/>
  <c r="I5" i="19"/>
  <c r="I6" i="19"/>
  <c r="I10" i="19"/>
  <c r="I11" i="19"/>
  <c r="I24" i="19"/>
  <c r="I7" i="19"/>
  <c r="I17" i="19"/>
  <c r="I36" i="19"/>
  <c r="I33" i="19"/>
  <c r="I28" i="19"/>
  <c r="I15" i="19"/>
  <c r="I35" i="19"/>
  <c r="I34" i="19"/>
  <c r="I23" i="19"/>
  <c r="I13" i="19"/>
  <c r="I31" i="19"/>
  <c r="I4" i="19"/>
  <c r="I14" i="19"/>
  <c r="I30" i="19"/>
  <c r="I18" i="19"/>
  <c r="I19" i="19"/>
  <c r="I9" i="19"/>
  <c r="I29" i="19"/>
  <c r="I16" i="19"/>
  <c r="I20" i="19"/>
  <c r="N31" i="19"/>
  <c r="O31" i="19" s="1"/>
  <c r="P31" i="19" s="1"/>
  <c r="Q31" i="19" s="1"/>
  <c r="H15" i="19" l="1"/>
  <c r="H12" i="19"/>
  <c r="G12" i="19" s="1"/>
  <c r="N12" i="19" s="1"/>
  <c r="O12" i="19" s="1"/>
  <c r="P12" i="19" s="1"/>
  <c r="Q12" i="19" s="1"/>
  <c r="H14" i="19"/>
  <c r="H17" i="19"/>
  <c r="H25" i="19"/>
  <c r="H19" i="19"/>
  <c r="H29" i="19"/>
  <c r="H33" i="19"/>
  <c r="H35" i="19"/>
  <c r="H32" i="19"/>
  <c r="G32" i="19" s="1"/>
  <c r="N32" i="19" s="1"/>
  <c r="O32" i="19" s="1"/>
  <c r="P32" i="19" s="1"/>
  <c r="Q32" i="19" s="1"/>
  <c r="H16" i="19"/>
  <c r="H18" i="19"/>
  <c r="H36" i="19"/>
  <c r="H23" i="19"/>
  <c r="H31" i="19"/>
  <c r="H22" i="19"/>
  <c r="H24" i="19"/>
  <c r="H26" i="19"/>
  <c r="H20" i="19"/>
  <c r="H34" i="19"/>
  <c r="H27" i="19"/>
  <c r="H30" i="19"/>
  <c r="H13" i="19"/>
  <c r="H10" i="19"/>
  <c r="H11" i="19"/>
  <c r="H5" i="19"/>
  <c r="G5" i="19" s="1"/>
  <c r="G6" i="19" s="1"/>
  <c r="H7" i="19"/>
  <c r="H8" i="19"/>
  <c r="H9" i="19"/>
  <c r="J4" i="19"/>
  <c r="K4" i="19" s="1"/>
  <c r="L4" i="19" s="1"/>
  <c r="J6" i="19"/>
  <c r="N11" i="19"/>
  <c r="O11" i="19" s="1"/>
  <c r="P11" i="19" s="1"/>
  <c r="Q11" i="19" s="1"/>
  <c r="J11" i="19"/>
  <c r="T11" i="19"/>
  <c r="U11" i="19" s="1"/>
  <c r="K11" i="19"/>
  <c r="L11" i="19" s="1"/>
  <c r="M11" i="19" s="1"/>
  <c r="N5" i="19"/>
  <c r="O5" i="19" s="1"/>
  <c r="P5" i="19" s="1"/>
  <c r="Q5" i="19" s="1"/>
  <c r="J5" i="19"/>
  <c r="N4" i="19"/>
  <c r="J31" i="19"/>
  <c r="J12" i="19" l="1"/>
  <c r="G13" i="19"/>
  <c r="J32" i="19"/>
  <c r="T32" i="19" s="1"/>
  <c r="U32" i="19" s="1"/>
  <c r="G14" i="19"/>
  <c r="N13" i="19"/>
  <c r="O13" i="19" s="1"/>
  <c r="P13" i="19" s="1"/>
  <c r="Q13" i="19" s="1"/>
  <c r="J13" i="19"/>
  <c r="T13" i="19" s="1"/>
  <c r="U13" i="19" s="1"/>
  <c r="G33" i="19"/>
  <c r="G7" i="19"/>
  <c r="N6" i="19"/>
  <c r="O6" i="19" s="1"/>
  <c r="P6" i="19" s="1"/>
  <c r="Q6" i="19" s="1"/>
  <c r="T4" i="19"/>
  <c r="K6" i="19"/>
  <c r="L6" i="19" s="1"/>
  <c r="M6" i="19" s="1"/>
  <c r="T6" i="19"/>
  <c r="U6" i="19" s="1"/>
  <c r="K31" i="19"/>
  <c r="L31" i="19" s="1"/>
  <c r="M31" i="19" s="1"/>
  <c r="T31" i="19"/>
  <c r="U31" i="19" s="1"/>
  <c r="K12" i="19"/>
  <c r="L12" i="19" s="1"/>
  <c r="M12" i="19" s="1"/>
  <c r="T12" i="19"/>
  <c r="U12" i="19" s="1"/>
  <c r="K5" i="19"/>
  <c r="T5" i="19"/>
  <c r="U5" i="19" s="1"/>
  <c r="O4" i="19"/>
  <c r="M4" i="19"/>
  <c r="U4" i="19"/>
  <c r="K13" i="19" l="1"/>
  <c r="L13" i="19" s="1"/>
  <c r="M13" i="19" s="1"/>
  <c r="K32" i="19"/>
  <c r="L32" i="19" s="1"/>
  <c r="M32" i="19" s="1"/>
  <c r="N33" i="19"/>
  <c r="O33" i="19" s="1"/>
  <c r="P33" i="19" s="1"/>
  <c r="Q33" i="19" s="1"/>
  <c r="G34" i="19"/>
  <c r="J33" i="19"/>
  <c r="G15" i="19"/>
  <c r="J14" i="19"/>
  <c r="N14" i="19"/>
  <c r="O14" i="19" s="1"/>
  <c r="P14" i="19" s="1"/>
  <c r="Q14" i="19" s="1"/>
  <c r="N7" i="19"/>
  <c r="G8" i="19"/>
  <c r="J7" i="19"/>
  <c r="L5" i="19"/>
  <c r="P4" i="19"/>
  <c r="K14" i="19" l="1"/>
  <c r="L14" i="19" s="1"/>
  <c r="M14" i="19" s="1"/>
  <c r="T14" i="19"/>
  <c r="U14" i="19" s="1"/>
  <c r="T33" i="19"/>
  <c r="U33" i="19" s="1"/>
  <c r="K33" i="19"/>
  <c r="L33" i="19" s="1"/>
  <c r="M33" i="19" s="1"/>
  <c r="G16" i="19"/>
  <c r="J15" i="19"/>
  <c r="N15" i="19"/>
  <c r="O15" i="19" s="1"/>
  <c r="P15" i="19" s="1"/>
  <c r="Q15" i="19" s="1"/>
  <c r="G35" i="19"/>
  <c r="N34" i="19"/>
  <c r="O34" i="19" s="1"/>
  <c r="P34" i="19" s="1"/>
  <c r="Q34" i="19" s="1"/>
  <c r="J34" i="19"/>
  <c r="K7" i="19"/>
  <c r="T7" i="19"/>
  <c r="G9" i="19"/>
  <c r="J8" i="19"/>
  <c r="N8" i="19"/>
  <c r="O8" i="19" s="1"/>
  <c r="P8" i="19" s="1"/>
  <c r="Q8" i="19" s="1"/>
  <c r="O7" i="19"/>
  <c r="Q4" i="19"/>
  <c r="M5" i="19"/>
  <c r="G36" i="19" l="1"/>
  <c r="J35" i="19"/>
  <c r="N35" i="19"/>
  <c r="O35" i="19" s="1"/>
  <c r="P35" i="19" s="1"/>
  <c r="Q35" i="19" s="1"/>
  <c r="T15" i="19"/>
  <c r="U15" i="19" s="1"/>
  <c r="K15" i="19"/>
  <c r="L15" i="19" s="1"/>
  <c r="M15" i="19" s="1"/>
  <c r="T34" i="19"/>
  <c r="U34" i="19" s="1"/>
  <c r="K34" i="19"/>
  <c r="L34" i="19" s="1"/>
  <c r="M34" i="19" s="1"/>
  <c r="G17" i="19"/>
  <c r="J16" i="19"/>
  <c r="N16" i="19"/>
  <c r="O16" i="19" s="1"/>
  <c r="P16" i="19" s="1"/>
  <c r="Q16" i="19" s="1"/>
  <c r="P7" i="19"/>
  <c r="G10" i="19"/>
  <c r="J9" i="19"/>
  <c r="N9" i="19"/>
  <c r="O9" i="19" s="1"/>
  <c r="P9" i="19" s="1"/>
  <c r="Q9" i="19" s="1"/>
  <c r="K8" i="19"/>
  <c r="L8" i="19" s="1"/>
  <c r="M8" i="19" s="1"/>
  <c r="T8" i="19"/>
  <c r="U8" i="19" s="1"/>
  <c r="U7" i="19"/>
  <c r="L7" i="19"/>
  <c r="G18" i="19" l="1"/>
  <c r="N17" i="19"/>
  <c r="O17" i="19" s="1"/>
  <c r="P17" i="19" s="1"/>
  <c r="Q17" i="19" s="1"/>
  <c r="J17" i="19"/>
  <c r="T35" i="19"/>
  <c r="U35" i="19" s="1"/>
  <c r="K35" i="19"/>
  <c r="L35" i="19" s="1"/>
  <c r="M35" i="19" s="1"/>
  <c r="T16" i="19"/>
  <c r="U16" i="19" s="1"/>
  <c r="K16" i="19"/>
  <c r="L16" i="19" s="1"/>
  <c r="M16" i="19" s="1"/>
  <c r="N36" i="19"/>
  <c r="O36" i="19" s="1"/>
  <c r="P36" i="19" s="1"/>
  <c r="Q36" i="19" s="1"/>
  <c r="J36" i="19"/>
  <c r="M7" i="19"/>
  <c r="J10" i="19"/>
  <c r="N10" i="19"/>
  <c r="O10" i="19" s="1"/>
  <c r="P10" i="19" s="1"/>
  <c r="Q10" i="19" s="1"/>
  <c r="K9" i="19"/>
  <c r="L9" i="19" s="1"/>
  <c r="M9" i="19" s="1"/>
  <c r="T9" i="19"/>
  <c r="U9" i="19" s="1"/>
  <c r="Q7" i="19"/>
  <c r="T17" i="19" l="1"/>
  <c r="U17" i="19" s="1"/>
  <c r="K17" i="19"/>
  <c r="L17" i="19" s="1"/>
  <c r="M17" i="19" s="1"/>
  <c r="K36" i="19"/>
  <c r="L36" i="19" s="1"/>
  <c r="M36" i="19" s="1"/>
  <c r="T36" i="19"/>
  <c r="U36" i="19" s="1"/>
  <c r="G19" i="19"/>
  <c r="J18" i="19"/>
  <c r="N18" i="19"/>
  <c r="T10" i="19"/>
  <c r="K10" i="19"/>
  <c r="G20" i="19" l="1"/>
  <c r="N19" i="19"/>
  <c r="O19" i="19" s="1"/>
  <c r="P19" i="19" s="1"/>
  <c r="Q19" i="19" s="1"/>
  <c r="J19" i="19"/>
  <c r="O18" i="19"/>
  <c r="T18" i="19"/>
  <c r="U18" i="19" s="1"/>
  <c r="K18" i="19"/>
  <c r="L18" i="19" s="1"/>
  <c r="M18" i="19" s="1"/>
  <c r="L10" i="19"/>
  <c r="U10" i="19"/>
  <c r="T19" i="19" l="1"/>
  <c r="U19" i="19" s="1"/>
  <c r="K19" i="19"/>
  <c r="L19" i="19" s="1"/>
  <c r="M19" i="19" s="1"/>
  <c r="P18" i="19"/>
  <c r="G21" i="19"/>
  <c r="J20" i="19"/>
  <c r="N20" i="19"/>
  <c r="M10" i="19"/>
  <c r="G22" i="19" l="1"/>
  <c r="J21" i="19"/>
  <c r="N21" i="19"/>
  <c r="O21" i="19" s="1"/>
  <c r="P21" i="19" s="1"/>
  <c r="Q21" i="19" s="1"/>
  <c r="Q18" i="19"/>
  <c r="O20" i="19"/>
  <c r="K20" i="19"/>
  <c r="T20" i="19"/>
  <c r="G23" i="19" l="1"/>
  <c r="N22" i="19"/>
  <c r="J22" i="19"/>
  <c r="P20" i="19"/>
  <c r="L20" i="19"/>
  <c r="U20" i="19"/>
  <c r="K21" i="19"/>
  <c r="L21" i="19" s="1"/>
  <c r="M21" i="19" s="1"/>
  <c r="T21" i="19"/>
  <c r="U21" i="19" s="1"/>
  <c r="M20" i="19" l="1"/>
  <c r="Q20" i="19"/>
  <c r="T22" i="19"/>
  <c r="U22" i="19" s="1"/>
  <c r="K22" i="19"/>
  <c r="O22" i="19"/>
  <c r="N23" i="19"/>
  <c r="O23" i="19" s="1"/>
  <c r="P23" i="19" s="1"/>
  <c r="Q23" i="19" s="1"/>
  <c r="G24" i="19"/>
  <c r="J23" i="19"/>
  <c r="L22" i="19" l="1"/>
  <c r="K23" i="19"/>
  <c r="L23" i="19" s="1"/>
  <c r="M23" i="19" s="1"/>
  <c r="T23" i="19"/>
  <c r="G25" i="19"/>
  <c r="J24" i="19"/>
  <c r="N24" i="19"/>
  <c r="O24" i="19" s="1"/>
  <c r="P24" i="19" s="1"/>
  <c r="Q24" i="19" s="1"/>
  <c r="P22" i="19"/>
  <c r="G26" i="19" l="1"/>
  <c r="N25" i="19"/>
  <c r="J25" i="19"/>
  <c r="T24" i="19"/>
  <c r="U24" i="19" s="1"/>
  <c r="K24" i="19"/>
  <c r="L24" i="19" s="1"/>
  <c r="M24" i="19" s="1"/>
  <c r="U23" i="19"/>
  <c r="Q22" i="19"/>
  <c r="M22" i="19"/>
  <c r="O25" i="19" l="1"/>
  <c r="K25" i="19"/>
  <c r="L25" i="19" s="1"/>
  <c r="M25" i="19" s="1"/>
  <c r="T25" i="19"/>
  <c r="G27" i="19"/>
  <c r="J26" i="19"/>
  <c r="N26" i="19"/>
  <c r="O26" i="19" s="1"/>
  <c r="P26" i="19" s="1"/>
  <c r="Q26" i="19" s="1"/>
  <c r="G28" i="19" l="1"/>
  <c r="N27" i="19"/>
  <c r="O27" i="19" s="1"/>
  <c r="P27" i="19" s="1"/>
  <c r="Q27" i="19" s="1"/>
  <c r="J27" i="19"/>
  <c r="U25" i="19"/>
  <c r="P25" i="19"/>
  <c r="K26" i="19"/>
  <c r="L26" i="19" s="1"/>
  <c r="M26" i="19" s="1"/>
  <c r="T26" i="19"/>
  <c r="U26" i="19" s="1"/>
  <c r="T27" i="19" l="1"/>
  <c r="U27" i="19" s="1"/>
  <c r="K27" i="19"/>
  <c r="L27" i="19" s="1"/>
  <c r="Q25" i="19"/>
  <c r="G29" i="19"/>
  <c r="J28" i="19"/>
  <c r="N28" i="19"/>
  <c r="O28" i="19" s="1"/>
  <c r="P28" i="19" l="1"/>
  <c r="Q28" i="19" s="1"/>
  <c r="T28" i="19"/>
  <c r="U28" i="19" s="1"/>
  <c r="K28" i="19"/>
  <c r="L28" i="19" s="1"/>
  <c r="M28" i="19" s="1"/>
  <c r="G30" i="19"/>
  <c r="N29" i="19"/>
  <c r="O29" i="19" s="1"/>
  <c r="P29" i="19" s="1"/>
  <c r="Q29" i="19" s="1"/>
  <c r="J29" i="19"/>
  <c r="M27" i="19"/>
  <c r="T29" i="19" l="1"/>
  <c r="U29" i="19" s="1"/>
  <c r="K29" i="19"/>
  <c r="L29" i="19" s="1"/>
  <c r="M29" i="19" s="1"/>
  <c r="J30" i="19"/>
  <c r="N30" i="19"/>
  <c r="K30" i="19" l="1"/>
  <c r="T30" i="19"/>
  <c r="J37" i="19"/>
  <c r="O30" i="19"/>
  <c r="N37" i="19"/>
  <c r="P30" i="19" l="1"/>
  <c r="O37" i="19"/>
  <c r="B38" i="11" s="1"/>
  <c r="U30" i="19"/>
  <c r="U37" i="19" s="1"/>
  <c r="T37" i="19"/>
  <c r="L30" i="19"/>
  <c r="K37" i="19"/>
  <c r="B37" i="11" s="1"/>
  <c r="M30" i="19" l="1"/>
  <c r="M37" i="19" s="1"/>
  <c r="B30" i="11" s="1"/>
  <c r="L37" i="19"/>
  <c r="Q30" i="19"/>
  <c r="Q37" i="19" s="1"/>
  <c r="B31" i="11" s="1"/>
  <c r="P37" i="19"/>
  <c r="B34" i="11" l="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<sst xmlns="http://schemas.openxmlformats.org/spreadsheetml/2006/main" count="263" uniqueCount="131">
  <si>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</si>
  <si>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</si>
  <si>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</si>
  <si>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</si>
  <si>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</si>
  <si>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</si>
  <si>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</si>
  <si>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</si>
  <si>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</si>
  <si>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</si>
  <si>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</si>
  <si>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</si>
  <si>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</si>
  <si>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</si>
  <si>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</si>
  <si>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</si>
  <si>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</si>
  <si>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</si>
  <si>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</si>
  <si>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</si>
  <si>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</si>
  <si>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</si>
  <si>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</si>
  <si>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</si>
  <si>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</si>
  <si>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</si>
  <si>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</si>
  <si>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</si>
  <si>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</si>
  <si>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</si>
  <si>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</si>
  <si>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</si>
  <si>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</si>
  <si>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</si>
  <si>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</si>
  <si>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</si>
  <si>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</si>
  <si>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</si>
  <si>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</si>
  <si>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</si>
  <si>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</si>
  <si>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</si>
  <si>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</si>
  <si>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</si>
  <si>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</si>
  <si>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</si>
  <si>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</si>
  <si>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SH 288/CR 63 Grade Separation</t>
  </si>
  <si>
    <t>Data entered by the sponsors</t>
  </si>
  <si>
    <t>Application ID Number:</t>
  </si>
  <si>
    <t>Data populated/calculated based on inputs</t>
  </si>
  <si>
    <t>Sponsor ID Number (CSJ, etc.):</t>
  </si>
  <si>
    <t>0598-02-115</t>
  </si>
  <si>
    <t xml:space="preserve">HGAC regional travel demand model data provided by HGAC </t>
  </si>
  <si>
    <t>Project County</t>
  </si>
  <si>
    <t>Brazoria</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</si>
  <si>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</si>
  <si>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</si>
  <si>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</si>
  <si>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</si>
  <si>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</si>
  <si>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</si>
  <si>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</si>
  <si>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</si>
  <si>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</si>
  <si>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</si>
  <si>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</si>
  <si>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</si>
  <si>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</si>
  <si>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</si>
  <si>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</si>
  <si>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</si>
  <si>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</si>
  <si>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</si>
  <si>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</si>
  <si>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</si>
  <si>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</si>
  <si>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</si>
  <si>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</si>
  <si>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</si>
  <si>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</si>
  <si>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</si>
  <si>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</si>
  <si>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</si>
  <si>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</si>
  <si>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</si>
  <si>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</si>
  <si>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</si>
  <si>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</si>
  <si>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</si>
  <si>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</si>
  <si>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</si>
  <si>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</si>
  <si>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</si>
  <si>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</si>
  <si>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</si>
  <si>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</si>
  <si>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</si>
  <si>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</si>
  <si>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</si>
  <si>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</si>
  <si>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</si>
  <si>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</si>
  <si>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</si>
  <si>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</si>
  <si>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</si>
  <si>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</si>
  <si>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</si>
  <si>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</si>
  <si>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</si>
  <si>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</si>
  <si>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</si>
  <si>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</si>
  <si>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</si>
  <si>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Chambers</t>
  </si>
  <si>
    <t>Fort Bend</t>
  </si>
  <si>
    <t>Galveston</t>
  </si>
  <si>
    <t>Harris</t>
  </si>
  <si>
    <t>Liberty</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</si>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</sst>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color rgb="FF00000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DCE6F1"/>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13" borderId="1" xfId="0" applyNumberFormat="1" applyFill="1" applyBorder="1" applyAlignment="1" applyProtection="1">
      <alignment vertical="center"/>
      <protection locked="0"/>
    </xf>
    <xf numFmtId="3" fontId="10" fillId="16" borderId="1" xfId="0" applyNumberFormat="1" applyFont="1" applyFill="1" applyBorder="1" applyProtection="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v>
      </c>
      <c r="E3" s="7" t="s">
        <v>2</v>
      </c>
      <c r="G3" s="13" t="s">
        <v>3</v>
      </c>
      <c r="H3" s="13"/>
      <c r="I3" s="13" t="s">
        <v>4</v>
      </c>
      <c r="J3" s="13" t="s">
        <v>5</v>
      </c>
    </row>
    <row r="4" spans="1:10" x14ac:dyDescent="0.25">
      <c r="A4" s="4" t="s">
        <v>6</v>
      </c>
      <c r="B4" s="5"/>
      <c r="D4" s="4" t="s">
        <v>7</v>
      </c>
      <c r="E4" s="5">
        <v>2015</v>
      </c>
      <c r="G4" s="11">
        <f>E4</f>
        <v>2015</v>
      </c>
      <c r="H4" s="11">
        <f>IF(G4&lt;2041,1,0)</f>
        <v>1</v>
      </c>
      <c r="I4" s="20">
        <f>IF($G4&lt;($G$4+$E$5),$E$17,0)*H4</f>
        <v>0</v>
      </c>
      <c r="J4" s="28" t="e">
        <f>I4*$B$18*$B$19/10^3</f>
        <v>#REF!</v>
      </c>
    </row>
    <row r="5" spans="1:10" x14ac:dyDescent="0.25">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x14ac:dyDescent="0.25">
      <c r="A6" s="4" t="s">
        <v>10</v>
      </c>
      <c r="B6" s="5">
        <v>1</v>
      </c>
      <c r="D6" s="97" t="s">
        <v>11</v>
      </c>
      <c r="E6" s="98"/>
      <c r="G6" s="11">
        <f t="shared" si="0"/>
        <v>2017</v>
      </c>
      <c r="H6" s="11">
        <f t="shared" si="1"/>
        <v>1</v>
      </c>
      <c r="I6" s="20">
        <f t="shared" si="2"/>
        <v>0</v>
      </c>
      <c r="J6" s="28" t="e">
        <f t="shared" si="3"/>
        <v>#REF!</v>
      </c>
    </row>
    <row r="7" spans="1:10" x14ac:dyDescent="0.25">
      <c r="A7" s="4" t="s">
        <v>12</v>
      </c>
      <c r="B7" s="21"/>
      <c r="D7" s="4" t="s">
        <v>13</v>
      </c>
      <c r="E7" s="8"/>
      <c r="G7" s="12">
        <f t="shared" si="0"/>
        <v>2018</v>
      </c>
      <c r="H7" s="12">
        <f t="shared" si="1"/>
        <v>1</v>
      </c>
      <c r="I7" s="20">
        <f t="shared" si="2"/>
        <v>0</v>
      </c>
      <c r="J7" s="34" t="e">
        <f t="shared" si="3"/>
        <v>#REF!</v>
      </c>
    </row>
    <row r="8" spans="1:10" x14ac:dyDescent="0.25">
      <c r="A8" s="4" t="s">
        <v>14</v>
      </c>
      <c r="B8" s="21"/>
      <c r="D8" s="4" t="s">
        <v>15</v>
      </c>
      <c r="E8" s="37">
        <v>1.1499999999999999</v>
      </c>
      <c r="G8" s="11">
        <f t="shared" si="0"/>
        <v>2019</v>
      </c>
      <c r="H8" s="11">
        <f t="shared" si="1"/>
        <v>1</v>
      </c>
      <c r="I8" s="20">
        <f t="shared" si="2"/>
        <v>0</v>
      </c>
      <c r="J8" s="28" t="e">
        <f t="shared" si="3"/>
        <v>#REF!</v>
      </c>
    </row>
    <row r="9" spans="1:10" x14ac:dyDescent="0.25">
      <c r="G9" s="12">
        <f t="shared" si="0"/>
        <v>2020</v>
      </c>
      <c r="H9" s="12">
        <f t="shared" si="1"/>
        <v>1</v>
      </c>
      <c r="I9" s="20">
        <f t="shared" si="2"/>
        <v>0</v>
      </c>
      <c r="J9" s="34" t="e">
        <f t="shared" si="3"/>
        <v>#REF!</v>
      </c>
    </row>
    <row r="10" spans="1:10" x14ac:dyDescent="0.25">
      <c r="A10" s="10" t="s">
        <v>16</v>
      </c>
      <c r="G10" s="11">
        <f t="shared" si="0"/>
        <v>2021</v>
      </c>
      <c r="H10" s="11">
        <f t="shared" si="1"/>
        <v>1</v>
      </c>
      <c r="I10" s="20">
        <f t="shared" si="2"/>
        <v>0</v>
      </c>
      <c r="J10" s="28" t="e">
        <f t="shared" si="3"/>
        <v>#REF!</v>
      </c>
    </row>
    <row r="11" spans="1:10" x14ac:dyDescent="0.25">
      <c r="A11" s="9" t="s">
        <v>17</v>
      </c>
      <c r="B11" s="35" t="e">
        <f>NPV($B$17,J4:J29)/(1+$B$17)^(E4-B16+1)</f>
        <v>#REF!</v>
      </c>
      <c r="G11" s="12">
        <f t="shared" si="0"/>
        <v>2022</v>
      </c>
      <c r="H11" s="12">
        <f t="shared" si="1"/>
        <v>1</v>
      </c>
      <c r="I11" s="20">
        <f t="shared" si="2"/>
        <v>0</v>
      </c>
      <c r="J11" s="34" t="e">
        <f t="shared" si="3"/>
        <v>#REF!</v>
      </c>
    </row>
    <row r="12" spans="1:10" x14ac:dyDescent="0.25">
      <c r="A12" s="9" t="s">
        <v>18</v>
      </c>
      <c r="B12" s="33" t="e">
        <f>B11/B7</f>
        <v>#REF!</v>
      </c>
      <c r="G12" s="11">
        <f t="shared" si="0"/>
        <v>2023</v>
      </c>
      <c r="H12" s="11">
        <f t="shared" si="1"/>
        <v>1</v>
      </c>
      <c r="I12" s="20">
        <f t="shared" si="2"/>
        <v>0</v>
      </c>
      <c r="J12" s="28" t="e">
        <f t="shared" si="3"/>
        <v>#REF!</v>
      </c>
    </row>
    <row r="13" spans="1:10" x14ac:dyDescent="0.25">
      <c r="G13" s="12">
        <f t="shared" si="0"/>
        <v>2024</v>
      </c>
      <c r="H13" s="12">
        <f t="shared" si="1"/>
        <v>1</v>
      </c>
      <c r="I13" s="20">
        <f t="shared" si="2"/>
        <v>0</v>
      </c>
      <c r="J13" s="34" t="e">
        <f t="shared" si="3"/>
        <v>#REF!</v>
      </c>
    </row>
    <row r="14" spans="1:10" x14ac:dyDescent="0.25">
      <c r="G14" s="11">
        <f>G13+1</f>
        <v>2025</v>
      </c>
      <c r="H14" s="11">
        <f t="shared" si="1"/>
        <v>1</v>
      </c>
      <c r="I14" s="20">
        <f t="shared" si="2"/>
        <v>0</v>
      </c>
      <c r="J14" s="28" t="e">
        <f t="shared" si="3"/>
        <v>#REF!</v>
      </c>
    </row>
    <row r="15" spans="1:10" x14ac:dyDescent="0.25">
      <c r="A15" s="14" t="s">
        <v>19</v>
      </c>
      <c r="G15" s="12">
        <f t="shared" si="0"/>
        <v>2026</v>
      </c>
      <c r="H15" s="12">
        <f t="shared" si="1"/>
        <v>1</v>
      </c>
      <c r="I15" s="20">
        <f t="shared" si="2"/>
        <v>0</v>
      </c>
      <c r="J15" s="34" t="e">
        <f t="shared" si="3"/>
        <v>#REF!</v>
      </c>
    </row>
    <row r="16" spans="1:10" x14ac:dyDescent="0.25">
      <c r="A16" s="15" t="s">
        <v>20</v>
      </c>
      <c r="B16" s="15" t="e">
        <f>'Assumed Values'!#REF!</f>
        <v>#REF!</v>
      </c>
      <c r="D16" s="14" t="s">
        <v>21</v>
      </c>
      <c r="E16" s="22" t="s">
        <v>2</v>
      </c>
      <c r="G16" s="11">
        <f t="shared" si="0"/>
        <v>2027</v>
      </c>
      <c r="H16" s="11">
        <f t="shared" si="1"/>
        <v>1</v>
      </c>
      <c r="I16" s="20">
        <f t="shared" si="2"/>
        <v>0</v>
      </c>
      <c r="J16" s="28" t="e">
        <f t="shared" si="3"/>
        <v>#REF!</v>
      </c>
    </row>
    <row r="17" spans="1:10" x14ac:dyDescent="0.25">
      <c r="A17" s="15" t="s">
        <v>22</v>
      </c>
      <c r="B17" s="16" t="e">
        <f>'Assumed Values'!#REF!</f>
        <v>#REF!</v>
      </c>
      <c r="D17" s="18" t="s">
        <v>23</v>
      </c>
      <c r="E17" s="19">
        <f>E7/E8</f>
        <v>0</v>
      </c>
      <c r="G17" s="12">
        <f t="shared" si="0"/>
        <v>2028</v>
      </c>
      <c r="H17" s="12">
        <f t="shared" si="1"/>
        <v>1</v>
      </c>
      <c r="I17" s="20">
        <f t="shared" si="2"/>
        <v>0</v>
      </c>
      <c r="J17" s="34" t="e">
        <f t="shared" si="3"/>
        <v>#REF!</v>
      </c>
    </row>
    <row r="18" spans="1:10" x14ac:dyDescent="0.25">
      <c r="A18" s="15" t="s">
        <v>24</v>
      </c>
      <c r="B18" s="15">
        <f>IF(B6=2,2.1, 1.1)</f>
        <v>1.1000000000000001</v>
      </c>
      <c r="G18" s="11">
        <f t="shared" si="0"/>
        <v>2029</v>
      </c>
      <c r="H18" s="11">
        <f t="shared" si="1"/>
        <v>1</v>
      </c>
      <c r="I18" s="20">
        <f t="shared" si="2"/>
        <v>0</v>
      </c>
      <c r="J18" s="28" t="e">
        <f t="shared" si="3"/>
        <v>#REF!</v>
      </c>
    </row>
    <row r="19" spans="1:10" x14ac:dyDescent="0.25">
      <c r="A19" s="15" t="s">
        <v>25</v>
      </c>
      <c r="B19" s="17" t="e">
        <f>'Assumed Values'!#REF!</f>
        <v>#REF!</v>
      </c>
      <c r="G19" s="12">
        <f t="shared" si="0"/>
        <v>2030</v>
      </c>
      <c r="H19" s="12">
        <f t="shared" si="1"/>
        <v>1</v>
      </c>
      <c r="I19" s="20">
        <f t="shared" si="2"/>
        <v>0</v>
      </c>
      <c r="J19" s="34" t="e">
        <f t="shared" si="3"/>
        <v>#REF!</v>
      </c>
    </row>
    <row r="20" spans="1:10" x14ac:dyDescent="0.25">
      <c r="A20" s="15" t="s">
        <v>26</v>
      </c>
      <c r="B20" s="15">
        <v>260</v>
      </c>
      <c r="G20" s="11">
        <f t="shared" si="0"/>
        <v>2031</v>
      </c>
      <c r="H20" s="11">
        <f t="shared" si="1"/>
        <v>1</v>
      </c>
      <c r="I20" s="20">
        <f t="shared" si="2"/>
        <v>0</v>
      </c>
      <c r="J20" s="28" t="e">
        <f t="shared" si="3"/>
        <v>#REF!</v>
      </c>
    </row>
    <row r="21" spans="1:10" x14ac:dyDescent="0.25">
      <c r="G21" s="12">
        <f t="shared" si="0"/>
        <v>2032</v>
      </c>
      <c r="H21" s="12">
        <f t="shared" si="1"/>
        <v>1</v>
      </c>
      <c r="I21" s="20">
        <f t="shared" si="2"/>
        <v>0</v>
      </c>
      <c r="J21" s="34" t="e">
        <f t="shared" si="3"/>
        <v>#REF!</v>
      </c>
    </row>
    <row r="22" spans="1:10" x14ac:dyDescent="0.25">
      <c r="G22" s="11">
        <f t="shared" si="0"/>
        <v>2033</v>
      </c>
      <c r="H22" s="11">
        <f t="shared" si="1"/>
        <v>1</v>
      </c>
      <c r="I22" s="20">
        <f t="shared" si="2"/>
        <v>0</v>
      </c>
      <c r="J22" s="28" t="e">
        <f t="shared" si="3"/>
        <v>#REF!</v>
      </c>
    </row>
    <row r="23" spans="1:10" x14ac:dyDescent="0.25">
      <c r="G23" s="12">
        <f t="shared" si="0"/>
        <v>2034</v>
      </c>
      <c r="H23" s="12">
        <f t="shared" si="1"/>
        <v>1</v>
      </c>
      <c r="I23" s="20">
        <f t="shared" si="2"/>
        <v>0</v>
      </c>
      <c r="J23" s="34" t="e">
        <f t="shared" si="3"/>
        <v>#REF!</v>
      </c>
    </row>
    <row r="24" spans="1:10" x14ac:dyDescent="0.25">
      <c r="G24" s="11">
        <f t="shared" si="0"/>
        <v>2035</v>
      </c>
      <c r="H24" s="11">
        <f t="shared" si="1"/>
        <v>1</v>
      </c>
      <c r="I24" s="20">
        <f t="shared" si="2"/>
        <v>0</v>
      </c>
      <c r="J24" s="28" t="e">
        <f t="shared" si="3"/>
        <v>#REF!</v>
      </c>
    </row>
    <row r="25" spans="1:10" x14ac:dyDescent="0.25">
      <c r="G25" s="12">
        <f t="shared" si="0"/>
        <v>2036</v>
      </c>
      <c r="H25" s="12">
        <f t="shared" si="1"/>
        <v>1</v>
      </c>
      <c r="I25" s="20">
        <f t="shared" si="2"/>
        <v>0</v>
      </c>
      <c r="J25" s="34" t="e">
        <f t="shared" ref="J25:J29" si="4">I25*$B$18*$B$19/10^3</f>
        <v>#REF!</v>
      </c>
    </row>
    <row r="26" spans="1:10" x14ac:dyDescent="0.25">
      <c r="G26" s="11">
        <f t="shared" si="0"/>
        <v>2037</v>
      </c>
      <c r="H26" s="11">
        <f t="shared" si="1"/>
        <v>1</v>
      </c>
      <c r="I26" s="20">
        <f t="shared" si="2"/>
        <v>0</v>
      </c>
      <c r="J26" s="28" t="e">
        <f t="shared" si="4"/>
        <v>#REF!</v>
      </c>
    </row>
    <row r="27" spans="1:10" x14ac:dyDescent="0.25">
      <c r="G27" s="12">
        <f t="shared" si="0"/>
        <v>2038</v>
      </c>
      <c r="H27" s="12">
        <f t="shared" si="1"/>
        <v>1</v>
      </c>
      <c r="I27" s="20">
        <f t="shared" si="2"/>
        <v>0</v>
      </c>
      <c r="J27" s="34" t="e">
        <f t="shared" si="4"/>
        <v>#REF!</v>
      </c>
    </row>
    <row r="28" spans="1:10" x14ac:dyDescent="0.25">
      <c r="G28" s="11">
        <f t="shared" si="0"/>
        <v>2039</v>
      </c>
      <c r="H28" s="11">
        <f t="shared" si="1"/>
        <v>1</v>
      </c>
      <c r="I28" s="20">
        <f t="shared" si="2"/>
        <v>0</v>
      </c>
      <c r="J28" s="28" t="e">
        <f t="shared" si="4"/>
        <v>#REF!</v>
      </c>
    </row>
    <row r="29" spans="1:10" x14ac:dyDescent="0.25">
      <c r="A29" s="23"/>
      <c r="G29" s="12">
        <f t="shared" si="0"/>
        <v>2040</v>
      </c>
      <c r="H29" s="12">
        <f t="shared" si="1"/>
        <v>1</v>
      </c>
      <c r="I29" s="20">
        <f t="shared" si="2"/>
        <v>0</v>
      </c>
      <c r="J29" s="34" t="e">
        <f t="shared" si="4"/>
        <v>#REF!</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30</v>
      </c>
      <c r="E3" s="7" t="s">
        <v>2</v>
      </c>
      <c r="G3" s="13" t="s">
        <v>3</v>
      </c>
      <c r="H3" s="13" t="s">
        <v>31</v>
      </c>
      <c r="I3" s="13" t="s">
        <v>32</v>
      </c>
      <c r="J3" s="13" t="s">
        <v>33</v>
      </c>
      <c r="K3" s="13" t="s">
        <v>34</v>
      </c>
    </row>
    <row r="4" spans="1:11" x14ac:dyDescent="0.25">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x14ac:dyDescent="0.25">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x14ac:dyDescent="0.25">
      <c r="A6" s="4" t="s">
        <v>35</v>
      </c>
      <c r="B6" s="5">
        <v>2</v>
      </c>
      <c r="D6" s="97" t="s">
        <v>11</v>
      </c>
      <c r="E6" s="98"/>
      <c r="G6" s="11">
        <f t="shared" si="2"/>
        <v>2017</v>
      </c>
      <c r="H6" s="30" t="e">
        <f t="shared" si="0"/>
        <v>#REF!</v>
      </c>
      <c r="I6" s="28" t="e">
        <f t="shared" si="3"/>
        <v>#REF!</v>
      </c>
      <c r="J6" s="30" t="e">
        <f t="shared" si="1"/>
        <v>#REF!</v>
      </c>
      <c r="K6" s="28" t="e">
        <f t="shared" si="4"/>
        <v>#REF!</v>
      </c>
    </row>
    <row r="7" spans="1:11" x14ac:dyDescent="0.25">
      <c r="A7" s="4" t="s">
        <v>12</v>
      </c>
      <c r="B7" s="21"/>
      <c r="D7" s="4" t="s">
        <v>36</v>
      </c>
      <c r="E7" s="8"/>
      <c r="G7" s="12">
        <f t="shared" si="2"/>
        <v>2018</v>
      </c>
      <c r="H7" s="30" t="e">
        <f t="shared" si="0"/>
        <v>#REF!</v>
      </c>
      <c r="I7" s="31" t="e">
        <f t="shared" si="3"/>
        <v>#REF!</v>
      </c>
      <c r="J7" s="30" t="e">
        <f t="shared" si="1"/>
        <v>#REF!</v>
      </c>
      <c r="K7" s="31" t="e">
        <f t="shared" si="4"/>
        <v>#REF!</v>
      </c>
    </row>
    <row r="8" spans="1:11" x14ac:dyDescent="0.25">
      <c r="A8" s="4" t="s">
        <v>14</v>
      </c>
      <c r="B8" s="21"/>
      <c r="D8" s="97" t="s">
        <v>37</v>
      </c>
      <c r="E8" s="98"/>
      <c r="G8" s="11">
        <f t="shared" si="2"/>
        <v>2019</v>
      </c>
      <c r="H8" s="30" t="e">
        <f t="shared" si="0"/>
        <v>#REF!</v>
      </c>
      <c r="I8" s="28" t="e">
        <f t="shared" si="3"/>
        <v>#REF!</v>
      </c>
      <c r="J8" s="30" t="e">
        <f t="shared" si="1"/>
        <v>#REF!</v>
      </c>
      <c r="K8" s="28" t="e">
        <f t="shared" si="4"/>
        <v>#REF!</v>
      </c>
    </row>
    <row r="9" spans="1:11" x14ac:dyDescent="0.25">
      <c r="D9" s="4" t="s">
        <v>38</v>
      </c>
      <c r="E9" s="8"/>
      <c r="G9" s="12">
        <f t="shared" si="2"/>
        <v>2020</v>
      </c>
      <c r="H9" s="30" t="e">
        <f t="shared" si="0"/>
        <v>#REF!</v>
      </c>
      <c r="I9" s="31" t="e">
        <f t="shared" si="3"/>
        <v>#REF!</v>
      </c>
      <c r="J9" s="30" t="e">
        <f t="shared" si="1"/>
        <v>#REF!</v>
      </c>
      <c r="K9" s="31" t="e">
        <f t="shared" si="4"/>
        <v>#REF!</v>
      </c>
    </row>
    <row r="10" spans="1:11" x14ac:dyDescent="0.25">
      <c r="A10" s="10" t="s">
        <v>16</v>
      </c>
      <c r="D10" s="4" t="s">
        <v>39</v>
      </c>
      <c r="E10" s="8"/>
      <c r="G10" s="11">
        <f t="shared" si="2"/>
        <v>2021</v>
      </c>
      <c r="H10" s="30" t="e">
        <f t="shared" si="0"/>
        <v>#REF!</v>
      </c>
      <c r="I10" s="28" t="e">
        <f t="shared" si="3"/>
        <v>#REF!</v>
      </c>
      <c r="J10" s="30" t="e">
        <f t="shared" si="1"/>
        <v>#REF!</v>
      </c>
      <c r="K10" s="28" t="e">
        <f t="shared" si="4"/>
        <v>#REF!</v>
      </c>
    </row>
    <row r="11" spans="1:11" x14ac:dyDescent="0.25">
      <c r="A11" s="9" t="s">
        <v>40</v>
      </c>
      <c r="B11" s="32" t="e">
        <f>(NPV($B$17,K4:K24)+NPV($B$17,I4:I24))/(1+$B$17)^2</f>
        <v>#REF!</v>
      </c>
      <c r="G11" s="12">
        <f t="shared" si="2"/>
        <v>2022</v>
      </c>
      <c r="H11" s="30" t="e">
        <f t="shared" si="0"/>
        <v>#REF!</v>
      </c>
      <c r="I11" s="31" t="e">
        <f t="shared" si="3"/>
        <v>#REF!</v>
      </c>
      <c r="J11" s="30" t="e">
        <f t="shared" si="1"/>
        <v>#REF!</v>
      </c>
      <c r="K11" s="31" t="e">
        <f t="shared" si="4"/>
        <v>#REF!</v>
      </c>
    </row>
    <row r="12" spans="1:11" x14ac:dyDescent="0.25">
      <c r="A12" s="9" t="s">
        <v>18</v>
      </c>
      <c r="B12" s="33" t="e">
        <f>B11/B7</f>
        <v>#REF!</v>
      </c>
      <c r="G12" s="11">
        <f t="shared" si="2"/>
        <v>2023</v>
      </c>
      <c r="H12" s="30" t="e">
        <f t="shared" si="0"/>
        <v>#REF!</v>
      </c>
      <c r="I12" s="28" t="e">
        <f t="shared" si="3"/>
        <v>#REF!</v>
      </c>
      <c r="J12" s="30" t="e">
        <f t="shared" si="1"/>
        <v>#REF!</v>
      </c>
      <c r="K12" s="28" t="e">
        <f t="shared" si="4"/>
        <v>#REF!</v>
      </c>
    </row>
    <row r="13" spans="1:11" x14ac:dyDescent="0.25">
      <c r="A13" s="9" t="s">
        <v>41</v>
      </c>
      <c r="B13" s="32" t="e">
        <f>B7*(B17/(1-(1+B17)^(-E5))/(SUM(H4:H29)+SUM(J4:J29)))</f>
        <v>#REF!</v>
      </c>
      <c r="G13" s="12">
        <f t="shared" si="2"/>
        <v>2024</v>
      </c>
      <c r="H13" s="30" t="e">
        <f t="shared" si="0"/>
        <v>#REF!</v>
      </c>
      <c r="I13" s="31" t="e">
        <f t="shared" si="3"/>
        <v>#REF!</v>
      </c>
      <c r="J13" s="30" t="e">
        <f t="shared" si="1"/>
        <v>#REF!</v>
      </c>
      <c r="K13" s="31" t="e">
        <f t="shared" si="4"/>
        <v>#REF!</v>
      </c>
    </row>
    <row r="14" spans="1:11" x14ac:dyDescent="0.25">
      <c r="G14" s="11">
        <f>G13+1</f>
        <v>2025</v>
      </c>
      <c r="H14" s="30">
        <f t="shared" si="0"/>
        <v>0</v>
      </c>
      <c r="I14" s="28" t="e">
        <f t="shared" si="3"/>
        <v>#REF!</v>
      </c>
      <c r="J14" s="30">
        <f t="shared" si="1"/>
        <v>0</v>
      </c>
      <c r="K14" s="28" t="e">
        <f t="shared" si="4"/>
        <v>#REF!</v>
      </c>
    </row>
    <row r="15" spans="1:11" x14ac:dyDescent="0.25">
      <c r="A15" s="14" t="s">
        <v>19</v>
      </c>
      <c r="G15" s="12">
        <f t="shared" si="2"/>
        <v>2026</v>
      </c>
      <c r="H15" s="30">
        <f t="shared" si="0"/>
        <v>0</v>
      </c>
      <c r="I15" s="31" t="e">
        <f t="shared" si="3"/>
        <v>#REF!</v>
      </c>
      <c r="J15" s="30">
        <f t="shared" si="1"/>
        <v>0</v>
      </c>
      <c r="K15" s="31" t="e">
        <f t="shared" si="4"/>
        <v>#REF!</v>
      </c>
    </row>
    <row r="16" spans="1:11" x14ac:dyDescent="0.25">
      <c r="A16" s="15" t="s">
        <v>20</v>
      </c>
      <c r="B16" s="15">
        <v>2015</v>
      </c>
      <c r="D16" s="14" t="s">
        <v>21</v>
      </c>
      <c r="E16" s="22" t="s">
        <v>2</v>
      </c>
      <c r="G16" s="11">
        <f t="shared" si="2"/>
        <v>2027</v>
      </c>
      <c r="H16" s="30">
        <f t="shared" si="0"/>
        <v>0</v>
      </c>
      <c r="I16" s="28" t="e">
        <f t="shared" si="3"/>
        <v>#REF!</v>
      </c>
      <c r="J16" s="30">
        <f t="shared" si="1"/>
        <v>0</v>
      </c>
      <c r="K16" s="28" t="e">
        <f t="shared" si="4"/>
        <v>#REF!</v>
      </c>
    </row>
    <row r="17" spans="1:11" x14ac:dyDescent="0.25">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x14ac:dyDescent="0.25">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x14ac:dyDescent="0.25">
      <c r="A19" s="15" t="s">
        <v>43</v>
      </c>
      <c r="B19" s="36" t="e">
        <f>IF($B$6=2,'Assumed Values'!#REF!,0)</f>
        <v>#REF!</v>
      </c>
      <c r="G19" s="12">
        <f t="shared" si="2"/>
        <v>2030</v>
      </c>
      <c r="H19" s="30">
        <f t="shared" si="0"/>
        <v>0</v>
      </c>
      <c r="I19" s="31" t="e">
        <f t="shared" si="3"/>
        <v>#REF!</v>
      </c>
      <c r="J19" s="30">
        <f t="shared" si="1"/>
        <v>0</v>
      </c>
      <c r="K19" s="31" t="e">
        <f t="shared" si="4"/>
        <v>#REF!</v>
      </c>
    </row>
    <row r="20" spans="1:11" x14ac:dyDescent="0.25">
      <c r="A20" s="15" t="s">
        <v>44</v>
      </c>
      <c r="B20" s="29" t="e">
        <f>'Assumed Values'!#REF!</f>
        <v>#REF!</v>
      </c>
      <c r="G20" s="11">
        <f t="shared" si="2"/>
        <v>2031</v>
      </c>
      <c r="H20" s="30">
        <f t="shared" si="0"/>
        <v>0</v>
      </c>
      <c r="I20" s="28" t="e">
        <f t="shared" si="3"/>
        <v>#REF!</v>
      </c>
      <c r="J20" s="30">
        <f t="shared" si="1"/>
        <v>0</v>
      </c>
      <c r="K20" s="28" t="e">
        <f t="shared" si="4"/>
        <v>#REF!</v>
      </c>
    </row>
    <row r="21" spans="1:11" x14ac:dyDescent="0.25">
      <c r="A21" s="15" t="s">
        <v>45</v>
      </c>
      <c r="B21" s="29" t="e">
        <f>'Assumed Values'!#REF!</f>
        <v>#REF!</v>
      </c>
      <c r="G21" s="12">
        <f t="shared" si="2"/>
        <v>2032</v>
      </c>
      <c r="H21" s="30">
        <f t="shared" si="0"/>
        <v>0</v>
      </c>
      <c r="I21" s="31" t="e">
        <f t="shared" si="3"/>
        <v>#REF!</v>
      </c>
      <c r="J21" s="30">
        <f t="shared" si="1"/>
        <v>0</v>
      </c>
      <c r="K21" s="31" t="e">
        <f t="shared" si="4"/>
        <v>#REF!</v>
      </c>
    </row>
    <row r="22" spans="1:11" x14ac:dyDescent="0.25">
      <c r="A22" s="15" t="s">
        <v>26</v>
      </c>
      <c r="B22" s="15">
        <v>260</v>
      </c>
      <c r="G22" s="11">
        <f t="shared" si="2"/>
        <v>2033</v>
      </c>
      <c r="H22" s="30">
        <f t="shared" si="0"/>
        <v>0</v>
      </c>
      <c r="I22" s="28" t="e">
        <f t="shared" si="3"/>
        <v>#REF!</v>
      </c>
      <c r="J22" s="30">
        <f t="shared" si="1"/>
        <v>0</v>
      </c>
      <c r="K22" s="28" t="e">
        <f t="shared" si="4"/>
        <v>#REF!</v>
      </c>
    </row>
    <row r="23" spans="1:11" x14ac:dyDescent="0.25">
      <c r="G23" s="12">
        <f t="shared" si="2"/>
        <v>2034</v>
      </c>
      <c r="H23" s="30">
        <f t="shared" si="0"/>
        <v>0</v>
      </c>
      <c r="I23" s="31" t="e">
        <f t="shared" si="3"/>
        <v>#REF!</v>
      </c>
      <c r="J23" s="30">
        <f t="shared" si="1"/>
        <v>0</v>
      </c>
      <c r="K23" s="31" t="e">
        <f t="shared" si="4"/>
        <v>#REF!</v>
      </c>
    </row>
    <row r="24" spans="1:11" x14ac:dyDescent="0.25">
      <c r="G24" s="11">
        <f t="shared" si="2"/>
        <v>2035</v>
      </c>
      <c r="H24" s="30">
        <f t="shared" si="0"/>
        <v>0</v>
      </c>
      <c r="I24" s="28" t="e">
        <f t="shared" si="3"/>
        <v>#REF!</v>
      </c>
      <c r="J24" s="30">
        <f t="shared" si="1"/>
        <v>0</v>
      </c>
      <c r="K24" s="28" t="e">
        <f t="shared" si="4"/>
        <v>#REF!</v>
      </c>
    </row>
    <row r="25" spans="1:11" x14ac:dyDescent="0.25">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x14ac:dyDescent="0.25">
      <c r="G26" s="11">
        <f t="shared" si="2"/>
        <v>2037</v>
      </c>
      <c r="H26" s="30">
        <f t="shared" si="5"/>
        <v>0</v>
      </c>
      <c r="I26" s="28" t="e">
        <f t="shared" si="6"/>
        <v>#REF!</v>
      </c>
      <c r="J26" s="30">
        <f t="shared" si="7"/>
        <v>0</v>
      </c>
      <c r="K26" s="28" t="e">
        <f t="shared" si="8"/>
        <v>#REF!</v>
      </c>
    </row>
    <row r="27" spans="1:11" x14ac:dyDescent="0.25">
      <c r="G27" s="12">
        <f t="shared" si="2"/>
        <v>2038</v>
      </c>
      <c r="H27" s="30">
        <f t="shared" si="5"/>
        <v>0</v>
      </c>
      <c r="I27" s="31" t="e">
        <f t="shared" si="6"/>
        <v>#REF!</v>
      </c>
      <c r="J27" s="30">
        <f t="shared" si="7"/>
        <v>0</v>
      </c>
      <c r="K27" s="31" t="e">
        <f t="shared" si="8"/>
        <v>#REF!</v>
      </c>
    </row>
    <row r="28" spans="1:11" x14ac:dyDescent="0.25">
      <c r="G28" s="11">
        <f t="shared" si="2"/>
        <v>2039</v>
      </c>
      <c r="H28" s="30">
        <f t="shared" si="5"/>
        <v>0</v>
      </c>
      <c r="I28" s="28" t="e">
        <f t="shared" si="6"/>
        <v>#REF!</v>
      </c>
      <c r="J28" s="30">
        <f t="shared" si="7"/>
        <v>0</v>
      </c>
      <c r="K28" s="28" t="e">
        <f t="shared" si="8"/>
        <v>#REF!</v>
      </c>
    </row>
    <row r="29" spans="1:11" x14ac:dyDescent="0.25">
      <c r="G29" s="12">
        <f t="shared" si="2"/>
        <v>2040</v>
      </c>
      <c r="H29" s="30">
        <f>IF($G29&lt;($G$4+$E$5),$E$17,0)</f>
        <v>0</v>
      </c>
      <c r="I29" s="31" t="e">
        <f t="shared" si="6"/>
        <v>#REF!</v>
      </c>
      <c r="J29" s="30">
        <f>IF($G29&lt;($G$4+$E$5),$E$18,0)</f>
        <v>0</v>
      </c>
      <c r="K29" s="31" t="e">
        <f t="shared" si="8"/>
        <v>#REF!</v>
      </c>
    </row>
    <row r="31" spans="1:11" x14ac:dyDescent="0.25">
      <c r="A31" s="23"/>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8" zoomScaleNormal="100" workbookViewId="0">
      <selection activeCell="C24" sqref="C24"/>
    </sheetView>
  </sheetViews>
  <sheetFormatPr defaultColWidth="9.140625" defaultRowHeight="15" x14ac:dyDescent="0.25"/>
  <cols>
    <col min="1" max="1" width="57" style="49" customWidth="1"/>
    <col min="2" max="2" width="16" style="49" customWidth="1"/>
    <col min="3" max="3" width="5.28515625" style="49" customWidth="1"/>
    <col min="4" max="4" width="5.7109375" style="49" customWidth="1"/>
    <col min="5" max="16384" width="9.140625" style="49"/>
  </cols>
  <sheetData>
    <row r="3" spans="1:5" ht="18.75" x14ac:dyDescent="0.3">
      <c r="A3" s="79" t="s">
        <v>46</v>
      </c>
      <c r="B3" s="80"/>
      <c r="C3" s="80"/>
    </row>
    <row r="5" spans="1:5" ht="30" customHeight="1" x14ac:dyDescent="0.25">
      <c r="A5" s="81" t="s">
        <v>0</v>
      </c>
    </row>
    <row r="6" spans="1:5" x14ac:dyDescent="0.25">
      <c r="A6" s="5" t="s">
        <v>6</v>
      </c>
      <c r="B6" s="5" t="s">
        <v>47</v>
      </c>
      <c r="D6" s="5"/>
      <c r="E6" s="49" t="s">
        <v>48</v>
      </c>
    </row>
    <row r="7" spans="1:5" x14ac:dyDescent="0.25">
      <c r="A7" s="5" t="s">
        <v>49</v>
      </c>
      <c r="B7" s="5"/>
      <c r="D7" s="78"/>
      <c r="E7" s="49" t="s">
        <v>50</v>
      </c>
    </row>
    <row r="8" spans="1:5" x14ac:dyDescent="0.25">
      <c r="A8" s="5" t="s">
        <v>51</v>
      </c>
      <c r="B8" s="5" t="s">
        <v>52</v>
      </c>
      <c r="D8" s="82"/>
      <c r="E8" s="49" t="s">
        <v>53</v>
      </c>
    </row>
    <row r="9" spans="1:5" x14ac:dyDescent="0.25">
      <c r="A9" s="5" t="s">
        <v>54</v>
      </c>
      <c r="B9" s="83" t="s">
        <v>55</v>
      </c>
      <c r="D9" s="84"/>
      <c r="E9" s="49" t="s">
        <v>56</v>
      </c>
    </row>
    <row r="12" spans="1:5" x14ac:dyDescent="0.25">
      <c r="A12" s="81" t="s">
        <v>57</v>
      </c>
    </row>
    <row r="13" spans="1:5" x14ac:dyDescent="0.25">
      <c r="A13" s="5" t="s">
        <v>58</v>
      </c>
      <c r="B13" s="5">
        <v>2023</v>
      </c>
    </row>
    <row r="14" spans="1:5" x14ac:dyDescent="0.25">
      <c r="A14" s="5" t="s">
        <v>59</v>
      </c>
      <c r="B14" s="5" t="s">
        <v>60</v>
      </c>
    </row>
    <row r="15" spans="1:5" x14ac:dyDescent="0.25">
      <c r="A15" s="85" t="s">
        <v>61</v>
      </c>
      <c r="B15" s="8" t="s">
        <v>62</v>
      </c>
    </row>
    <row r="16" spans="1:5" x14ac:dyDescent="0.25">
      <c r="A16" s="85" t="s">
        <v>63</v>
      </c>
      <c r="B16" s="8">
        <v>1.99</v>
      </c>
    </row>
    <row r="17" spans="1:2" x14ac:dyDescent="0.25">
      <c r="A17" s="86" t="s">
        <v>64</v>
      </c>
      <c r="B17" s="8">
        <v>61</v>
      </c>
    </row>
    <row r="18" spans="1:2" x14ac:dyDescent="0.25">
      <c r="A18" s="86" t="s">
        <v>65</v>
      </c>
      <c r="B18" s="8">
        <v>55</v>
      </c>
    </row>
    <row r="19" spans="1:2" x14ac:dyDescent="0.25">
      <c r="A19" s="76" t="s">
        <v>66</v>
      </c>
      <c r="B19" s="77">
        <f>VLOOKUP(B14,'Service Life'!C6:D8,2,FALSE)</f>
        <v>20</v>
      </c>
    </row>
    <row r="21" spans="1:2" x14ac:dyDescent="0.25">
      <c r="A21" s="81" t="s">
        <v>67</v>
      </c>
    </row>
    <row r="22" spans="1:2" ht="20.25" customHeight="1" x14ac:dyDescent="0.25">
      <c r="A22" s="86" t="s">
        <v>68</v>
      </c>
      <c r="B22" s="96">
        <v>61604</v>
      </c>
    </row>
    <row r="23" spans="1:2" ht="30" x14ac:dyDescent="0.25">
      <c r="A23" s="94" t="s">
        <v>69</v>
      </c>
      <c r="B23" s="95">
        <v>65272</v>
      </c>
    </row>
    <row r="24" spans="1:2" ht="30" x14ac:dyDescent="0.25">
      <c r="A24" s="94" t="s">
        <v>70</v>
      </c>
      <c r="B24" s="95">
        <v>76553</v>
      </c>
    </row>
    <row r="27" spans="1:2" ht="18.75" x14ac:dyDescent="0.3">
      <c r="A27" s="79" t="s">
        <v>71</v>
      </c>
      <c r="B27" s="80"/>
    </row>
    <row r="29" spans="1:2" x14ac:dyDescent="0.25">
      <c r="A29" s="87" t="s">
        <v>72</v>
      </c>
    </row>
    <row r="30" spans="1:2" x14ac:dyDescent="0.25">
      <c r="A30" s="84" t="s">
        <v>73</v>
      </c>
      <c r="B30" s="35">
        <f>'Benefit Calculations'!M37</f>
        <v>6401.864131671643</v>
      </c>
    </row>
    <row r="31" spans="1:2" x14ac:dyDescent="0.25">
      <c r="A31" s="84" t="s">
        <v>74</v>
      </c>
      <c r="B31" s="35">
        <f>'Benefit Calculations'!Q37</f>
        <v>169.9591817692644</v>
      </c>
    </row>
    <row r="32" spans="1:2" x14ac:dyDescent="0.25">
      <c r="B32" s="88"/>
    </row>
    <row r="33" spans="1:9" x14ac:dyDescent="0.25">
      <c r="A33" s="87" t="s">
        <v>75</v>
      </c>
      <c r="B33" s="88"/>
    </row>
    <row r="34" spans="1:9" x14ac:dyDescent="0.25">
      <c r="A34" s="84" t="s">
        <v>76</v>
      </c>
      <c r="B34" s="35">
        <f>$B$30+$B$31</f>
        <v>6571.8233134409074</v>
      </c>
    </row>
    <row r="35" spans="1:9" x14ac:dyDescent="0.25">
      <c r="I35" s="89"/>
    </row>
    <row r="36" spans="1:9" x14ac:dyDescent="0.25">
      <c r="A36" s="87" t="s">
        <v>77</v>
      </c>
    </row>
    <row r="37" spans="1:9" x14ac:dyDescent="0.25">
      <c r="A37" s="84" t="s">
        <v>78</v>
      </c>
      <c r="B37" s="91">
        <f>'Benefit Calculations'!K37</f>
        <v>2.14015210357418</v>
      </c>
    </row>
    <row r="38" spans="1:9" x14ac:dyDescent="0.25">
      <c r="A38" s="84" t="s">
        <v>79</v>
      </c>
      <c r="B38" s="91">
        <f>'Benefit Calculations'!O37</f>
        <v>0.22392990875421817</v>
      </c>
    </row>
    <row r="40" spans="1:9" x14ac:dyDescent="0.25">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selection activeCell="M37" sqref="M37"/>
    </sheetView>
  </sheetViews>
  <sheetFormatPr defaultRowHeight="15" x14ac:dyDescent="0.2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80</v>
      </c>
      <c r="G2"/>
      <c r="H2"/>
      <c r="I2"/>
      <c r="K2" s="1"/>
      <c r="L2" s="38"/>
    </row>
    <row r="3" spans="2:21" ht="41.45" customHeight="1" x14ac:dyDescent="0.25">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x14ac:dyDescent="0.25">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6.6291801631500002E-2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1.16529995576E-2</v>
      </c>
      <c r="F4" s="54">
        <v>2018</v>
      </c>
      <c r="G4" s="63">
        <f>'Inputs &amp; Outputs'!B22</f>
        <v>61604</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x14ac:dyDescent="0.25">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6.3552699983099994E-2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1.13663999364E-2</v>
      </c>
      <c r="F5" s="54">
        <f t="shared" ref="F5:F36" si="2">F4+1</f>
        <v>2019</v>
      </c>
      <c r="G5" s="63">
        <f>G4+G4*H5</f>
        <v>62115.101473314979</v>
      </c>
      <c r="H5" s="62">
        <f>$C$9</f>
        <v>8.2965631016651553E-3</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x14ac:dyDescent="0.25">
      <c r="F6" s="54">
        <f t="shared" si="2"/>
        <v>2020</v>
      </c>
      <c r="G6" s="63">
        <f t="shared" ref="G6:G36" si="6">G5+G5*H6</f>
        <v>62630.443332254668</v>
      </c>
      <c r="H6" s="62">
        <f t="shared" ref="H6:H11" si="7">$C$9</f>
        <v>8.2965631016651553E-3</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x14ac:dyDescent="0.25">
      <c r="F7" s="54">
        <f t="shared" si="2"/>
        <v>2021</v>
      </c>
      <c r="G7" s="63">
        <f t="shared" si="6"/>
        <v>63150.060757445986</v>
      </c>
      <c r="H7" s="62">
        <f t="shared" si="7"/>
        <v>8.2965631016651553E-3</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x14ac:dyDescent="0.25">
      <c r="B8" s="14" t="s">
        <v>21</v>
      </c>
      <c r="F8" s="54">
        <f t="shared" si="2"/>
        <v>2022</v>
      </c>
      <c r="G8" s="63">
        <f t="shared" si="6"/>
        <v>63673.989221394128</v>
      </c>
      <c r="H8" s="62">
        <f t="shared" si="7"/>
        <v>8.2965631016651553E-3</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x14ac:dyDescent="0.25">
      <c r="B9" s="15" t="s">
        <v>98</v>
      </c>
      <c r="C9" s="53">
        <f>('Inputs &amp; Outputs'!B23/'Inputs &amp; Outputs'!B22)^(1/(2025-2018))-1</f>
        <v>8.2965631016651553E-3</v>
      </c>
      <c r="F9" s="54">
        <f t="shared" si="2"/>
        <v>2023</v>
      </c>
      <c r="G9" s="63">
        <f t="shared" si="6"/>
        <v>64202.26449090417</v>
      </c>
      <c r="H9" s="62">
        <f t="shared" si="7"/>
        <v>8.2965631016651553E-3</v>
      </c>
      <c r="I9" s="54">
        <f>IF(AND(F9&gt;='Inputs &amp; Outputs'!B$13,F9&lt;'Inputs &amp; Outputs'!B$13+'Inputs &amp; Outputs'!B$19),1,0)</f>
        <v>1</v>
      </c>
      <c r="J9" s="55">
        <f>I9*'Inputs &amp; Outputs'!B$16*'Benefit Calculations'!G9*('Benefit Calculations'!C$4-'Benefit Calculations'!C$5)</f>
        <v>349.95449171111733</v>
      </c>
      <c r="K9" s="71">
        <f t="shared" si="3"/>
        <v>0.10029736838931297</v>
      </c>
      <c r="L9" s="56">
        <f>K9*'Assumed Values'!$C$8</f>
        <v>753.03264186696174</v>
      </c>
      <c r="M9" s="57">
        <f t="shared" si="0"/>
        <v>536.90186635121859</v>
      </c>
      <c r="N9" s="55">
        <f>I9*'Inputs &amp; Outputs'!B$16*'Benefit Calculations'!G9*('Benefit Calculations'!D$4-'Benefit Calculations'!D$5)</f>
        <v>36.616685919717895</v>
      </c>
      <c r="O9" s="71">
        <f t="shared" si="4"/>
        <v>1.0494385195425242E-2</v>
      </c>
      <c r="P9" s="56">
        <f>ABS(O9*'Assumed Values'!$C$7)</f>
        <v>19.991803797285087</v>
      </c>
      <c r="Q9" s="57">
        <f t="shared" si="1"/>
        <v>14.253879810413387</v>
      </c>
      <c r="T9" s="68">
        <f t="shared" si="5"/>
        <v>9.09881678448905E-2</v>
      </c>
      <c r="U9" s="69">
        <f>T9*'Assumed Values'!$D$8</f>
        <v>0</v>
      </c>
    </row>
    <row r="10" spans="2:21" x14ac:dyDescent="0.25">
      <c r="B10" s="15" t="s">
        <v>99</v>
      </c>
      <c r="C10" s="53">
        <f>('Inputs &amp; Outputs'!B24/'Inputs &amp; Outputs'!B23)^(1/(2045-2020))-1</f>
        <v>6.3971814068473076E-3</v>
      </c>
      <c r="F10" s="54">
        <f t="shared" si="2"/>
        <v>2024</v>
      </c>
      <c r="G10" s="63">
        <f t="shared" si="6"/>
        <v>64734.922629522756</v>
      </c>
      <c r="H10" s="62">
        <f t="shared" si="7"/>
        <v>8.2965631016651553E-3</v>
      </c>
      <c r="I10" s="54">
        <f>IF(AND(F10&gt;='Inputs &amp; Outputs'!B$13,F10&lt;'Inputs &amp; Outputs'!B$13+'Inputs &amp; Outputs'!B$19),1,0)</f>
        <v>1</v>
      </c>
      <c r="J10" s="55">
        <f>I10*'Inputs &amp; Outputs'!B$16*'Benefit Calculations'!G10*('Benefit Calculations'!C$4-'Benefit Calculations'!C$5)</f>
        <v>352.85791123430977</v>
      </c>
      <c r="K10" s="71">
        <f t="shared" si="3"/>
        <v>0.10112949183508588</v>
      </c>
      <c r="L10" s="56">
        <f>K10*'Assumed Values'!$C$8</f>
        <v>759.28022469782479</v>
      </c>
      <c r="M10" s="57">
        <f t="shared" si="0"/>
        <v>505.9404734250499</v>
      </c>
      <c r="N10" s="55">
        <f>I10*'Inputs &amp; Outputs'!B$16*'Benefit Calculations'!G10*('Benefit Calculations'!D$4-'Benefit Calculations'!D$5)</f>
        <v>36.920478565024688</v>
      </c>
      <c r="O10" s="71">
        <f t="shared" si="4"/>
        <v>1.0581452524412269E-2</v>
      </c>
      <c r="P10" s="56">
        <f>ABS(O10*'Assumed Values'!$C$7)</f>
        <v>20.157667059005373</v>
      </c>
      <c r="Q10" s="57">
        <f t="shared" si="1"/>
        <v>13.4319046950505</v>
      </c>
      <c r="T10" s="68">
        <f t="shared" si="5"/>
        <v>9.1743056920920538E-2</v>
      </c>
      <c r="U10" s="69">
        <f>T10*'Assumed Values'!$D$8</f>
        <v>0</v>
      </c>
    </row>
    <row r="11" spans="2:21" x14ac:dyDescent="0.25">
      <c r="B11" s="15" t="s">
        <v>100</v>
      </c>
      <c r="C11" s="53">
        <f>('Inputs &amp; Outputs'!B24/'Inputs &amp; Outputs'!B22)^(1/(2045-2018))-1</f>
        <v>8.0789977177160299E-3</v>
      </c>
      <c r="F11" s="54">
        <f t="shared" si="2"/>
        <v>2025</v>
      </c>
      <c r="G11" s="63">
        <f>'Inputs &amp; Outputs'!$B$23</f>
        <v>65272</v>
      </c>
      <c r="H11" s="62">
        <f t="shared" si="7"/>
        <v>8.2965631016651553E-3</v>
      </c>
      <c r="I11" s="54">
        <f>IF(AND(F11&gt;='Inputs &amp; Outputs'!B$13,F11&lt;'Inputs &amp; Outputs'!B$13+'Inputs &amp; Outputs'!B$19),1,0)</f>
        <v>1</v>
      </c>
      <c r="J11" s="55">
        <f>I11*'Inputs &amp; Outputs'!B$16*'Benefit Calculations'!G11*('Benefit Calculations'!C$4-'Benefit Calculations'!C$5)</f>
        <v>355.785419160787</v>
      </c>
      <c r="K11" s="71">
        <f t="shared" si="3"/>
        <v>0.10196851904553499</v>
      </c>
      <c r="L11" s="56">
        <f>K11*'Assumed Values'!$C$8</f>
        <v>765.57964099387664</v>
      </c>
      <c r="M11" s="57">
        <f t="shared" si="0"/>
        <v>476.76452382103463</v>
      </c>
      <c r="N11" s="55">
        <f>I11*'Inputs &amp; Outputs'!B$16*'Benefit Calculations'!G11*('Benefit Calculations'!D$4-'Benefit Calculations'!D$5)</f>
        <v>37.226791645183091</v>
      </c>
      <c r="O11" s="71">
        <f t="shared" si="4"/>
        <v>1.0669242212988327E-2</v>
      </c>
      <c r="P11" s="56">
        <f>ABS(O11*'Assumed Values'!$C$7)</f>
        <v>20.324906415742763</v>
      </c>
      <c r="Q11" s="57">
        <f t="shared" si="1"/>
        <v>12.657330224232275</v>
      </c>
      <c r="T11" s="68">
        <f t="shared" si="5"/>
        <v>9.2504208981804628E-2</v>
      </c>
      <c r="U11" s="69">
        <f>T11*'Assumed Values'!$D$8</f>
        <v>0</v>
      </c>
    </row>
    <row r="12" spans="2:21" x14ac:dyDescent="0.25">
      <c r="C12" s="38"/>
      <c r="F12" s="54">
        <f t="shared" si="2"/>
        <v>2026</v>
      </c>
      <c r="G12" s="63">
        <f t="shared" si="6"/>
        <v>65689.556824787738</v>
      </c>
      <c r="H12" s="62">
        <f>$C$10</f>
        <v>6.3971814068473076E-3</v>
      </c>
      <c r="I12" s="54">
        <f>IF(AND(F12&gt;='Inputs &amp; Outputs'!B$13,F12&lt;'Inputs &amp; Outputs'!B$13+'Inputs &amp; Outputs'!B$19),1,0)</f>
        <v>1</v>
      </c>
      <c r="J12" s="55">
        <f>I12*'Inputs &amp; Outputs'!B$16*'Benefit Calculations'!G12*('Benefit Calculations'!C$4-'Benefit Calculations'!C$5)</f>
        <v>358.06144302906972</v>
      </c>
      <c r="K12" s="71">
        <f t="shared" si="3"/>
        <v>0.10262083015965684</v>
      </c>
      <c r="L12" s="56">
        <f>K12*'Assumed Values'!$C$8</f>
        <v>770.47719283870356</v>
      </c>
      <c r="M12" s="57">
        <f t="shared" si="0"/>
        <v>448.42474109183831</v>
      </c>
      <c r="N12" s="55">
        <f>I12*'Inputs &amp; Outputs'!B$16*'Benefit Calculations'!G12*('Benefit Calculations'!D$4-'Benefit Calculations'!D$5)</f>
        <v>37.464938184532237</v>
      </c>
      <c r="O12" s="71">
        <f t="shared" si="4"/>
        <v>1.0737495290898407E-2</v>
      </c>
      <c r="P12" s="56">
        <f>ABS(O12*'Assumed Values'!$C$7)</f>
        <v>20.454928529161467</v>
      </c>
      <c r="Q12" s="57">
        <f t="shared" si="1"/>
        <v>11.904954637199124</v>
      </c>
      <c r="T12" s="68">
        <f t="shared" si="5"/>
        <v>9.3095975187558133E-2</v>
      </c>
      <c r="U12" s="69">
        <f>T12*'Assumed Values'!$D$8</f>
        <v>0</v>
      </c>
    </row>
    <row r="13" spans="2:21" x14ac:dyDescent="0.25">
      <c r="C13" s="38"/>
      <c r="F13" s="54">
        <f t="shared" si="2"/>
        <v>2027</v>
      </c>
      <c r="G13" s="63">
        <f t="shared" si="6"/>
        <v>66109.78483633131</v>
      </c>
      <c r="H13" s="62">
        <f t="shared" ref="H13:H36" si="8">$C$10</f>
        <v>6.3971814068473076E-3</v>
      </c>
      <c r="I13" s="54">
        <f>IF(AND(F13&gt;='Inputs &amp; Outputs'!B$13,F13&lt;'Inputs &amp; Outputs'!B$13+'Inputs &amp; Outputs'!B$19),1,0)</f>
        <v>1</v>
      </c>
      <c r="J13" s="55">
        <f>I13*'Inputs &amp; Outputs'!B$16*'Benefit Calculations'!G13*('Benefit Calculations'!C$4-'Benefit Calculations'!C$5)</f>
        <v>360.35202703492428</v>
      </c>
      <c r="K13" s="71">
        <f t="shared" si="3"/>
        <v>0.10327731422630945</v>
      </c>
      <c r="L13" s="56">
        <f>K13*'Assumed Values'!$C$8</f>
        <v>775.40607521113134</v>
      </c>
      <c r="M13" s="57">
        <f t="shared" si="0"/>
        <v>421.76952851207602</v>
      </c>
      <c r="N13" s="55">
        <f>I13*'Inputs &amp; Outputs'!B$16*'Benefit Calculations'!G13*('Benefit Calculations'!D$4-'Benefit Calculations'!D$5)</f>
        <v>37.704608190495009</v>
      </c>
      <c r="O13" s="71">
        <f t="shared" si="4"/>
        <v>1.0806184996129453E-2</v>
      </c>
      <c r="P13" s="56">
        <f>ABS(O13*'Assumed Values'!$C$7)</f>
        <v>20.585782417626607</v>
      </c>
      <c r="Q13" s="57">
        <f t="shared" si="1"/>
        <v>11.19730167444259</v>
      </c>
      <c r="T13" s="68">
        <f t="shared" si="5"/>
        <v>9.3691527029080318E-2</v>
      </c>
      <c r="U13" s="69">
        <f>T13*'Assumed Values'!$D$8</f>
        <v>0</v>
      </c>
    </row>
    <row r="14" spans="2:21" x14ac:dyDescent="0.25">
      <c r="C14" s="38"/>
      <c r="F14" s="54">
        <f t="shared" si="2"/>
        <v>2028</v>
      </c>
      <c r="G14" s="63">
        <f t="shared" si="6"/>
        <v>66532.701122696963</v>
      </c>
      <c r="H14" s="62">
        <f t="shared" si="8"/>
        <v>6.3971814068473076E-3</v>
      </c>
      <c r="I14" s="54">
        <f>IF(AND(F14&gt;='Inputs &amp; Outputs'!B$13,F14&lt;'Inputs &amp; Outputs'!B$13+'Inputs &amp; Outputs'!B$19),1,0)</f>
        <v>1</v>
      </c>
      <c r="J14" s="55">
        <f>I14*'Inputs &amp; Outputs'!B$16*'Benefit Calculations'!G14*('Benefit Calculations'!C$4-'Benefit Calculations'!C$5)</f>
        <v>362.65726432219179</v>
      </c>
      <c r="K14" s="71">
        <f t="shared" si="3"/>
        <v>0.10393799794062711</v>
      </c>
      <c r="L14" s="56">
        <f>K14*'Assumed Values'!$C$8</f>
        <v>780.36648853822828</v>
      </c>
      <c r="M14" s="57">
        <f t="shared" si="0"/>
        <v>396.69875205406373</v>
      </c>
      <c r="N14" s="55">
        <f>I14*'Inputs &amp; Outputs'!B$16*'Benefit Calculations'!G14*('Benefit Calculations'!D$4-'Benefit Calculations'!D$5)</f>
        <v>37.945811408963706</v>
      </c>
      <c r="O14" s="71">
        <f t="shared" si="4"/>
        <v>1.0875314121865645E-2</v>
      </c>
      <c r="P14" s="56">
        <f>ABS(O14*'Assumed Values'!$C$7)</f>
        <v>20.717473402154052</v>
      </c>
      <c r="Q14" s="57">
        <f t="shared" si="1"/>
        <v>10.531712938804857</v>
      </c>
      <c r="T14" s="68">
        <f t="shared" si="5"/>
        <v>9.4290888723769867E-2</v>
      </c>
      <c r="U14" s="69">
        <f>T14*'Assumed Values'!$D$8</f>
        <v>0</v>
      </c>
    </row>
    <row r="15" spans="2:21" x14ac:dyDescent="0.25">
      <c r="C15" s="1"/>
      <c r="F15" s="54">
        <f t="shared" si="2"/>
        <v>2029</v>
      </c>
      <c r="G15" s="63">
        <f t="shared" si="6"/>
        <v>66958.322881266402</v>
      </c>
      <c r="H15" s="62">
        <f t="shared" si="8"/>
        <v>6.3971814068473076E-3</v>
      </c>
      <c r="I15" s="54">
        <f>IF(AND(F15&gt;='Inputs &amp; Outputs'!B$13,F15&lt;'Inputs &amp; Outputs'!B$13+'Inputs &amp; Outputs'!B$19),1,0)</f>
        <v>1</v>
      </c>
      <c r="J15" s="55">
        <f>I15*'Inputs &amp; Outputs'!B$16*'Benefit Calculations'!G15*('Benefit Calculations'!C$4-'Benefit Calculations'!C$5)</f>
        <v>364.97724863057175</v>
      </c>
      <c r="K15" s="71">
        <f t="shared" si="3"/>
        <v>0.10460290816851781</v>
      </c>
      <c r="L15" s="56">
        <f>K15*'Assumed Values'!$C$8</f>
        <v>785.35863452923172</v>
      </c>
      <c r="M15" s="57">
        <f t="shared" si="0"/>
        <v>373.1182298456294</v>
      </c>
      <c r="N15" s="55">
        <f>I15*'Inputs &amp; Outputs'!B$16*'Benefit Calculations'!G15*('Benefit Calculations'!D$4-'Benefit Calculations'!D$5)</f>
        <v>38.188557648176854</v>
      </c>
      <c r="O15" s="71">
        <f t="shared" si="4"/>
        <v>1.0944885479159665E-2</v>
      </c>
      <c r="P15" s="56">
        <f>ABS(O15*'Assumed Values'!$C$7)</f>
        <v>20.85000683779916</v>
      </c>
      <c r="Q15" s="57">
        <f t="shared" si="1"/>
        <v>9.9056880532703069</v>
      </c>
      <c r="T15" s="68">
        <f t="shared" si="5"/>
        <v>9.4894084643948648E-2</v>
      </c>
      <c r="U15" s="69">
        <f>T15*'Assumed Values'!$D$8</f>
        <v>0</v>
      </c>
    </row>
    <row r="16" spans="2:21" x14ac:dyDescent="0.25">
      <c r="C16" s="1"/>
      <c r="F16" s="54">
        <f t="shared" si="2"/>
        <v>2030</v>
      </c>
      <c r="G16" s="63">
        <f t="shared" si="6"/>
        <v>67386.667419436111</v>
      </c>
      <c r="H16" s="62">
        <f t="shared" si="8"/>
        <v>6.3971814068473076E-3</v>
      </c>
      <c r="I16" s="54">
        <f>IF(AND(F16&gt;='Inputs &amp; Outputs'!B$13,F16&lt;'Inputs &amp; Outputs'!B$13+'Inputs &amp; Outputs'!B$19),1,0)</f>
        <v>1</v>
      </c>
      <c r="J16" s="55">
        <f>I16*'Inputs &amp; Outputs'!B$16*'Benefit Calculations'!G16*('Benefit Calculations'!C$4-'Benefit Calculations'!C$5)</f>
        <v>367.3120742994335</v>
      </c>
      <c r="K16" s="71">
        <f t="shared" si="3"/>
        <v>0.10527207194775559</v>
      </c>
      <c r="L16" s="56">
        <f>K16*'Assumed Values'!$C$8</f>
        <v>790.38271618374893</v>
      </c>
      <c r="M16" s="57">
        <f t="shared" si="0"/>
        <v>350.93937836276035</v>
      </c>
      <c r="N16" s="55">
        <f>I16*'Inputs &amp; Outputs'!B$16*'Benefit Calculations'!G16*('Benefit Calculations'!D$4-'Benefit Calculations'!D$5)</f>
        <v>38.432856779118083</v>
      </c>
      <c r="O16" s="71">
        <f t="shared" si="4"/>
        <v>1.1014901897047017E-2</v>
      </c>
      <c r="P16" s="56">
        <f>ABS(O16*'Assumed Values'!$C$7)</f>
        <v>20.983388113874568</v>
      </c>
      <c r="Q16" s="57">
        <f t="shared" si="1"/>
        <v>9.3168752679502038</v>
      </c>
      <c r="T16" s="68">
        <f t="shared" si="5"/>
        <v>9.5501139317852701E-2</v>
      </c>
      <c r="U16" s="69">
        <f>T16*'Assumed Values'!$D$8</f>
        <v>0</v>
      </c>
    </row>
    <row r="17" spans="3:21" x14ac:dyDescent="0.25">
      <c r="C17" s="1"/>
      <c r="F17" s="54">
        <f t="shared" si="2"/>
        <v>2031</v>
      </c>
      <c r="G17" s="63">
        <f t="shared" si="6"/>
        <v>67817.752155321126</v>
      </c>
      <c r="H17" s="62">
        <f t="shared" si="8"/>
        <v>6.3971814068473076E-3</v>
      </c>
      <c r="I17" s="54">
        <f>IF(AND(F17&gt;='Inputs &amp; Outputs'!B$13,F17&lt;'Inputs &amp; Outputs'!B$13+'Inputs &amp; Outputs'!B$19),1,0)</f>
        <v>1</v>
      </c>
      <c r="J17" s="55">
        <f>I17*'Inputs &amp; Outputs'!B$16*'Benefit Calculations'!G17*('Benefit Calculations'!C$4-'Benefit Calculations'!C$5)</f>
        <v>369.66183627165236</v>
      </c>
      <c r="K17" s="71">
        <f t="shared" si="3"/>
        <v>0.10594551648908007</v>
      </c>
      <c r="L17" s="56">
        <f>K17*'Assumed Values'!$C$8</f>
        <v>795.43893780001315</v>
      </c>
      <c r="M17" s="57">
        <f t="shared" si="0"/>
        <v>330.07887965322726</v>
      </c>
      <c r="N17" s="55">
        <f>I17*'Inputs &amp; Outputs'!B$16*'Benefit Calculations'!G17*('Benefit Calculations'!D$4-'Benefit Calculations'!D$5)</f>
        <v>38.678718735917485</v>
      </c>
      <c r="O17" s="71">
        <f t="shared" si="4"/>
        <v>1.1085366222661056E-2</v>
      </c>
      <c r="P17" s="56">
        <f>ABS(O17*'Assumed Values'!$C$7)</f>
        <v>21.11762265416931</v>
      </c>
      <c r="Q17" s="57">
        <f t="shared" si="1"/>
        <v>8.7630626254058424</v>
      </c>
      <c r="T17" s="68">
        <f t="shared" si="5"/>
        <v>9.6112077430629606E-2</v>
      </c>
      <c r="U17" s="69">
        <f>T17*'Assumed Values'!$D$8</f>
        <v>0</v>
      </c>
    </row>
    <row r="18" spans="3:21" x14ac:dyDescent="0.25">
      <c r="F18" s="54">
        <f t="shared" si="2"/>
        <v>2032</v>
      </c>
      <c r="G18" s="63">
        <f t="shared" si="6"/>
        <v>68251.594618463321</v>
      </c>
      <c r="H18" s="62">
        <f t="shared" si="8"/>
        <v>6.3971814068473076E-3</v>
      </c>
      <c r="I18" s="54">
        <f>IF(AND(F18&gt;='Inputs &amp; Outputs'!B$13,F18&lt;'Inputs &amp; Outputs'!B$13+'Inputs &amp; Outputs'!B$19),1,0)</f>
        <v>1</v>
      </c>
      <c r="J18" s="55">
        <f>I18*'Inputs &amp; Outputs'!B$16*'Benefit Calculations'!G18*('Benefit Calculations'!C$4-'Benefit Calculations'!C$5)</f>
        <v>372.02663009747039</v>
      </c>
      <c r="K18" s="71">
        <f t="shared" si="3"/>
        <v>0.10662326917730283</v>
      </c>
      <c r="L18" s="56">
        <f>K18*'Assumed Values'!$C$8</f>
        <v>800.52750498318971</v>
      </c>
      <c r="M18" s="57">
        <f t="shared" si="0"/>
        <v>310.45836834106342</v>
      </c>
      <c r="N18" s="55">
        <f>I18*'Inputs &amp; Outputs'!B$16*'Benefit Calculations'!G18*('Benefit Calculations'!D$4-'Benefit Calculations'!D$5)</f>
        <v>38.926153516255567</v>
      </c>
      <c r="O18" s="71">
        <f t="shared" si="4"/>
        <v>1.1156281321348754E-2</v>
      </c>
      <c r="P18" s="56">
        <f>ABS(O18*'Assumed Values'!$C$7)</f>
        <v>21.252715917169375</v>
      </c>
      <c r="Q18" s="57">
        <f t="shared" si="1"/>
        <v>8.2421696511216123</v>
      </c>
      <c r="T18" s="68">
        <f t="shared" si="5"/>
        <v>9.6726923825342301E-2</v>
      </c>
      <c r="U18" s="69">
        <f>T18*'Assumed Values'!$D$8</f>
        <v>0</v>
      </c>
    </row>
    <row r="19" spans="3:21" x14ac:dyDescent="0.25">
      <c r="F19" s="54">
        <f t="shared" si="2"/>
        <v>2033</v>
      </c>
      <c r="G19" s="63">
        <f t="shared" si="6"/>
        <v>68688.212450544233</v>
      </c>
      <c r="H19" s="62">
        <f t="shared" si="8"/>
        <v>6.3971814068473076E-3</v>
      </c>
      <c r="I19" s="54">
        <f>IF(AND(F19&gt;='Inputs &amp; Outputs'!B$13,F19&lt;'Inputs &amp; Outputs'!B$13+'Inputs &amp; Outputs'!B$19),1,0)</f>
        <v>1</v>
      </c>
      <c r="J19" s="55">
        <f>I19*'Inputs &amp; Outputs'!B$16*'Benefit Calculations'!G19*('Benefit Calculations'!C$4-'Benefit Calculations'!C$5)</f>
        <v>374.40655193838199</v>
      </c>
      <c r="K19" s="71">
        <f t="shared" si="3"/>
        <v>0.10730535757242117</v>
      </c>
      <c r="L19" s="56">
        <f>K19*'Assumed Values'!$C$8</f>
        <v>805.64862465373812</v>
      </c>
      <c r="M19" s="57">
        <f t="shared" si="0"/>
        <v>292.00413723608881</v>
      </c>
      <c r="N19" s="55">
        <f>I19*'Inputs &amp; Outputs'!B$16*'Benefit Calculations'!G19*('Benefit Calculations'!D$4-'Benefit Calculations'!D$5)</f>
        <v>39.175171181769841</v>
      </c>
      <c r="O19" s="71">
        <f t="shared" si="4"/>
        <v>1.1227650076787242E-2</v>
      </c>
      <c r="P19" s="56">
        <f>ABS(O19*'Assumed Values'!$C$7)</f>
        <v>21.388673396279696</v>
      </c>
      <c r="Q19" s="57">
        <f t="shared" si="1"/>
        <v>7.7522395379120068</v>
      </c>
      <c r="T19" s="68">
        <f t="shared" si="5"/>
        <v>9.7345703503979308E-2</v>
      </c>
      <c r="U19" s="69">
        <f>T19*'Assumed Values'!$D$8</f>
        <v>0</v>
      </c>
    </row>
    <row r="20" spans="3:21" x14ac:dyDescent="0.25">
      <c r="F20" s="54">
        <f t="shared" si="2"/>
        <v>2034</v>
      </c>
      <c r="G20" s="63">
        <f t="shared" si="6"/>
        <v>69127.62340610243</v>
      </c>
      <c r="H20" s="62">
        <f t="shared" si="8"/>
        <v>6.3971814068473076E-3</v>
      </c>
      <c r="I20" s="54">
        <f>IF(AND(F20&gt;='Inputs &amp; Outputs'!B$13,F20&lt;'Inputs &amp; Outputs'!B$13+'Inputs &amp; Outputs'!B$19),1,0)</f>
        <v>1</v>
      </c>
      <c r="J20" s="55">
        <f>I20*'Inputs &amp; Outputs'!B$16*'Benefit Calculations'!G20*('Benefit Calculations'!C$4-'Benefit Calculations'!C$5)</f>
        <v>376.80169857104397</v>
      </c>
      <c r="K20" s="71">
        <f t="shared" si="3"/>
        <v>0.10799180941073855</v>
      </c>
      <c r="L20" s="56">
        <f>K20*'Assumed Values'!$C$8</f>
        <v>810.80250505582501</v>
      </c>
      <c r="M20" s="57">
        <f t="shared" si="0"/>
        <v>274.64686044255888</v>
      </c>
      <c r="N20" s="55">
        <f>I20*'Inputs &amp; Outputs'!B$16*'Benefit Calculations'!G20*('Benefit Calculations'!D$4-'Benefit Calculations'!D$5)</f>
        <v>39.425781858463921</v>
      </c>
      <c r="O20" s="71">
        <f t="shared" si="4"/>
        <v>1.1299475391101056E-2</v>
      </c>
      <c r="P20" s="56">
        <f>ABS(O20*'Assumed Values'!$C$7)</f>
        <v>21.525500620047513</v>
      </c>
      <c r="Q20" s="57">
        <f t="shared" si="1"/>
        <v>7.2914317949022127</v>
      </c>
      <c r="T20" s="68">
        <f t="shared" si="5"/>
        <v>9.7968441628471445E-2</v>
      </c>
      <c r="U20" s="69">
        <f>T20*'Assumed Values'!$D$8</f>
        <v>0</v>
      </c>
    </row>
    <row r="21" spans="3:21" x14ac:dyDescent="0.25">
      <c r="F21" s="54">
        <f t="shared" si="2"/>
        <v>2035</v>
      </c>
      <c r="G21" s="63">
        <f t="shared" si="6"/>
        <v>69569.845353255485</v>
      </c>
      <c r="H21" s="62">
        <f t="shared" si="8"/>
        <v>6.3971814068473076E-3</v>
      </c>
      <c r="I21" s="54">
        <f>IF(AND(F21&gt;='Inputs &amp; Outputs'!B$13,F21&lt;'Inputs &amp; Outputs'!B$13+'Inputs &amp; Outputs'!B$19),1,0)</f>
        <v>1</v>
      </c>
      <c r="J21" s="55">
        <f>I21*'Inputs &amp; Outputs'!B$16*'Benefit Calculations'!G21*('Benefit Calculations'!C$4-'Benefit Calculations'!C$5)</f>
        <v>379.2121673912111</v>
      </c>
      <c r="K21" s="71">
        <f t="shared" si="3"/>
        <v>0.10868265260599271</v>
      </c>
      <c r="L21" s="56">
        <f>K21*'Assumed Values'!$C$8</f>
        <v>815.98935576579322</v>
      </c>
      <c r="M21" s="57">
        <f t="shared" si="0"/>
        <v>258.32133292675792</v>
      </c>
      <c r="N21" s="55">
        <f>I21*'Inputs &amp; Outputs'!B$16*'Benefit Calculations'!G21*('Benefit Calculations'!D$4-'Benefit Calculations'!D$5)</f>
        <v>39.677995737119296</v>
      </c>
      <c r="O21" s="71">
        <f t="shared" si="4"/>
        <v>1.1371760184980132E-2</v>
      </c>
      <c r="P21" s="56">
        <f>ABS(O21*'Assumed Values'!$C$7)</f>
        <v>21.663203152387151</v>
      </c>
      <c r="Q21" s="57">
        <f t="shared" si="1"/>
        <v>6.8580153334671516</v>
      </c>
      <c r="T21" s="68">
        <f t="shared" si="5"/>
        <v>9.8595163521714893E-2</v>
      </c>
      <c r="U21" s="69">
        <f>T21*'Assumed Values'!$D$8</f>
        <v>0</v>
      </c>
    </row>
    <row r="22" spans="3:21" x14ac:dyDescent="0.25">
      <c r="F22" s="54">
        <f t="shared" si="2"/>
        <v>2036</v>
      </c>
      <c r="G22" s="63">
        <f t="shared" si="6"/>
        <v>70014.896274426574</v>
      </c>
      <c r="H22" s="62">
        <f t="shared" si="8"/>
        <v>6.3971814068473076E-3</v>
      </c>
      <c r="I22" s="54">
        <f>IF(AND(F22&gt;='Inputs &amp; Outputs'!B$13,F22&lt;'Inputs &amp; Outputs'!B$13+'Inputs &amp; Outputs'!B$19),1,0)</f>
        <v>1</v>
      </c>
      <c r="J22" s="55">
        <f>I22*'Inputs &amp; Outputs'!B$16*'Benefit Calculations'!G22*('Benefit Calculations'!C$4-'Benefit Calculations'!C$5)</f>
        <v>381.63805641769642</v>
      </c>
      <c r="K22" s="71">
        <f t="shared" si="3"/>
        <v>0.10937791525049061</v>
      </c>
      <c r="L22" s="56">
        <f>K22*'Assumed Values'!$C$8</f>
        <v>821.20938770068346</v>
      </c>
      <c r="M22" s="57">
        <f t="shared" si="0"/>
        <v>242.96622556518597</v>
      </c>
      <c r="N22" s="55">
        <f>I22*'Inputs &amp; Outputs'!B$16*'Benefit Calculations'!G22*('Benefit Calculations'!D$4-'Benefit Calculations'!D$5)</f>
        <v>39.931823073709765</v>
      </c>
      <c r="O22" s="71">
        <f t="shared" si="4"/>
        <v>1.1444507397798615E-2</v>
      </c>
      <c r="P22" s="56">
        <f>ABS(O22*'Assumed Values'!$C$7)</f>
        <v>21.801786592806362</v>
      </c>
      <c r="Q22" s="57">
        <f t="shared" si="1"/>
        <v>6.4503619641554044</v>
      </c>
      <c r="T22" s="68">
        <f t="shared" si="5"/>
        <v>9.9225894668601072E-2</v>
      </c>
      <c r="U22" s="69">
        <f>T22*'Assumed Values'!$D$8</f>
        <v>0</v>
      </c>
    </row>
    <row r="23" spans="3:21" x14ac:dyDescent="0.25">
      <c r="F23" s="54">
        <f t="shared" si="2"/>
        <v>2037</v>
      </c>
      <c r="G23" s="63">
        <f t="shared" si="6"/>
        <v>70462.794267075675</v>
      </c>
      <c r="H23" s="62">
        <f t="shared" si="8"/>
        <v>6.3971814068473076E-3</v>
      </c>
      <c r="I23" s="54">
        <f>IF(AND(F23&gt;='Inputs &amp; Outputs'!B$13,F23&lt;'Inputs &amp; Outputs'!B$13+'Inputs &amp; Outputs'!B$19),1,0)</f>
        <v>1</v>
      </c>
      <c r="J23" s="55">
        <f>I23*'Inputs &amp; Outputs'!B$16*'Benefit Calculations'!G23*('Benefit Calculations'!C$4-'Benefit Calculations'!C$5)</f>
        <v>384.07946429635706</v>
      </c>
      <c r="K23" s="71">
        <f t="shared" si="3"/>
        <v>0.11007762561625076</v>
      </c>
      <c r="L23" s="56">
        <f>K23*'Assumed Values'!$C$8</f>
        <v>826.46281312681072</v>
      </c>
      <c r="M23" s="57">
        <f t="shared" si="0"/>
        <v>228.52385475314338</v>
      </c>
      <c r="N23" s="55">
        <f>I23*'Inputs &amp; Outputs'!B$16*'Benefit Calculations'!G23*('Benefit Calculations'!D$4-'Benefit Calculations'!D$5)</f>
        <v>40.187274189818417</v>
      </c>
      <c r="O23" s="71">
        <f t="shared" si="4"/>
        <v>1.151771998773434E-2</v>
      </c>
      <c r="P23" s="56">
        <f>ABS(O23*'Assumed Values'!$C$7)</f>
        <v>21.941256576633918</v>
      </c>
      <c r="Q23" s="57">
        <f t="shared" si="1"/>
        <v>6.0669402801681631</v>
      </c>
      <c r="T23" s="68">
        <f t="shared" si="5"/>
        <v>9.9860660717052824E-2</v>
      </c>
      <c r="U23" s="69">
        <f>T23*'Assumed Values'!$D$8</f>
        <v>0</v>
      </c>
    </row>
    <row r="24" spans="3:21" x14ac:dyDescent="0.25">
      <c r="F24" s="54">
        <f t="shared" si="2"/>
        <v>2038</v>
      </c>
      <c r="G24" s="63">
        <f t="shared" si="6"/>
        <v>70913.55754443552</v>
      </c>
      <c r="H24" s="62">
        <f t="shared" si="8"/>
        <v>6.3971814068473076E-3</v>
      </c>
      <c r="I24" s="54">
        <f>IF(AND(F24&gt;='Inputs &amp; Outputs'!B$13,F24&lt;'Inputs &amp; Outputs'!B$13+'Inputs &amp; Outputs'!B$19),1,0)</f>
        <v>1</v>
      </c>
      <c r="J24" s="55">
        <f>I24*'Inputs &amp; Outputs'!B$16*'Benefit Calculations'!G24*('Benefit Calculations'!C$4-'Benefit Calculations'!C$5)</f>
        <v>386.5364903041056</v>
      </c>
      <c r="K24" s="71">
        <f t="shared" si="3"/>
        <v>0.11078181215615295</v>
      </c>
      <c r="L24" s="56">
        <f>K24*'Assumed Values'!$C$8</f>
        <v>831.74984566839635</v>
      </c>
      <c r="M24" s="57">
        <f t="shared" si="0"/>
        <v>214.93996570821616</v>
      </c>
      <c r="N24" s="55">
        <f>I24*'Inputs &amp; Outputs'!B$16*'Benefit Calculations'!G24*('Benefit Calculations'!D$4-'Benefit Calculations'!D$5)</f>
        <v>40.444359473057403</v>
      </c>
      <c r="O24" s="71">
        <f t="shared" si="4"/>
        <v>1.1591400931889147E-2</v>
      </c>
      <c r="P24" s="56">
        <f>ABS(O24*'Assumed Values'!$C$7)</f>
        <v>22.081618775248828</v>
      </c>
      <c r="Q24" s="57">
        <f t="shared" si="1"/>
        <v>5.7063099044158028</v>
      </c>
      <c r="T24" s="68">
        <f t="shared" si="5"/>
        <v>0.10049948747906745</v>
      </c>
      <c r="U24" s="69">
        <f>T24*'Assumed Values'!$D$8</f>
        <v>0</v>
      </c>
    </row>
    <row r="25" spans="3:21" x14ac:dyDescent="0.25">
      <c r="F25" s="54">
        <f t="shared" si="2"/>
        <v>2039</v>
      </c>
      <c r="G25" s="63">
        <f t="shared" si="6"/>
        <v>71367.204436252185</v>
      </c>
      <c r="H25" s="62">
        <f t="shared" si="8"/>
        <v>6.3971814068473076E-3</v>
      </c>
      <c r="I25" s="54">
        <f>IF(AND(F25&gt;='Inputs &amp; Outputs'!B$13,F25&lt;'Inputs &amp; Outputs'!B$13+'Inputs &amp; Outputs'!B$19),1,0)</f>
        <v>1</v>
      </c>
      <c r="J25" s="55">
        <f>I25*'Inputs &amp; Outputs'!B$16*'Benefit Calculations'!G25*('Benefit Calculations'!C$4-'Benefit Calculations'!C$5)</f>
        <v>389.00923435294703</v>
      </c>
      <c r="K25" s="71">
        <f t="shared" si="3"/>
        <v>0.11149050350509514</v>
      </c>
      <c r="L25" s="56">
        <f>K25*'Assumed Values'!$C$8</f>
        <v>837.07070031625426</v>
      </c>
      <c r="M25" s="57">
        <f t="shared" si="0"/>
        <v>202.16352865461042</v>
      </c>
      <c r="N25" s="55">
        <f>I25*'Inputs &amp; Outputs'!B$16*'Benefit Calculations'!G25*('Benefit Calculations'!D$4-'Benefit Calculations'!D$5)</f>
        <v>40.703089377490294</v>
      </c>
      <c r="O25" s="71">
        <f t="shared" si="4"/>
        <v>1.1665553226409942E-2</v>
      </c>
      <c r="P25" s="56">
        <f>ABS(O25*'Assumed Values'!$C$7)</f>
        <v>22.222878896310938</v>
      </c>
      <c r="Q25" s="57">
        <f t="shared" si="1"/>
        <v>5.3671160785402234</v>
      </c>
      <c r="T25" s="68">
        <f t="shared" si="5"/>
        <v>0.10114240093176623</v>
      </c>
      <c r="U25" s="69">
        <f>T25*'Assumed Values'!$D$8</f>
        <v>0</v>
      </c>
    </row>
    <row r="26" spans="3:21" x14ac:dyDescent="0.25">
      <c r="F26" s="54">
        <f t="shared" si="2"/>
        <v>2040</v>
      </c>
      <c r="G26" s="63">
        <f t="shared" si="6"/>
        <v>71823.753389530451</v>
      </c>
      <c r="H26" s="62">
        <f t="shared" si="8"/>
        <v>6.3971814068473076E-3</v>
      </c>
      <c r="I26" s="54">
        <f>IF(AND(F26&gt;='Inputs &amp; Outputs'!B$13,F26&lt;'Inputs &amp; Outputs'!B$13+'Inputs &amp; Outputs'!B$19),1,0)</f>
        <v>1</v>
      </c>
      <c r="J26" s="55">
        <f>I26*'Inputs &amp; Outputs'!B$16*'Benefit Calculations'!G26*('Benefit Calculations'!C$4-'Benefit Calculations'!C$5)</f>
        <v>391.49779699404166</v>
      </c>
      <c r="K26" s="71">
        <f t="shared" si="3"/>
        <v>0.11220372848115799</v>
      </c>
      <c r="L26" s="56">
        <f>K26*'Assumed Values'!$C$8</f>
        <v>842.4255934365342</v>
      </c>
      <c r="M26" s="57">
        <f t="shared" si="0"/>
        <v>190.14654712267512</v>
      </c>
      <c r="N26" s="55">
        <f>I26*'Inputs &amp; Outputs'!B$16*'Benefit Calculations'!G26*('Benefit Calculations'!D$4-'Benefit Calculations'!D$5)</f>
        <v>40.963474424057225</v>
      </c>
      <c r="O26" s="71">
        <f t="shared" si="4"/>
        <v>1.1740179886610519E-2</v>
      </c>
      <c r="P26" s="56">
        <f>ABS(O26*'Assumed Values'!$C$7)</f>
        <v>22.365042683993039</v>
      </c>
      <c r="Q26" s="57">
        <f t="shared" si="1"/>
        <v>5.0480845735759372</v>
      </c>
      <c r="T26" s="68">
        <f t="shared" si="5"/>
        <v>0.10178942721845083</v>
      </c>
      <c r="U26" s="69">
        <f>T26*'Assumed Values'!$D$8</f>
        <v>0</v>
      </c>
    </row>
    <row r="27" spans="3:21" x14ac:dyDescent="0.25">
      <c r="F27" s="54">
        <f t="shared" si="2"/>
        <v>2041</v>
      </c>
      <c r="G27" s="63">
        <f t="shared" si="6"/>
        <v>72283.222969283946</v>
      </c>
      <c r="H27" s="62">
        <f t="shared" si="8"/>
        <v>6.3971814068473076E-3</v>
      </c>
      <c r="I27" s="54">
        <f>IF(AND(F27&gt;='Inputs &amp; Outputs'!B$13,F27&lt;'Inputs &amp; Outputs'!B$13+'Inputs &amp; Outputs'!B$19),1,0)</f>
        <v>1</v>
      </c>
      <c r="J27" s="55">
        <f>I27*'Inputs &amp; Outputs'!B$16*'Benefit Calculations'!G27*('Benefit Calculations'!C$4-'Benefit Calculations'!C$5)</f>
        <v>394.00227942179367</v>
      </c>
      <c r="K27" s="71">
        <f t="shared" si="3"/>
        <v>0.11292151608677661</v>
      </c>
      <c r="L27" s="56">
        <f>K27*'Assumed Values'!$C$8</f>
        <v>847.81474277951884</v>
      </c>
      <c r="M27" s="57">
        <f t="shared" si="0"/>
        <v>178.84387764346218</v>
      </c>
      <c r="N27" s="55">
        <f>I27*'Inputs &amp; Outputs'!B$16*'Benefit Calculations'!G27*('Benefit Calculations'!D$4-'Benefit Calculations'!D$5)</f>
        <v>41.225525201002668</v>
      </c>
      <c r="O27" s="71">
        <f t="shared" si="4"/>
        <v>1.1815283947094189E-2</v>
      </c>
      <c r="P27" s="56">
        <f>ABS(O27*'Assumed Values'!$C$7)</f>
        <v>22.508115919214429</v>
      </c>
      <c r="Q27" s="57">
        <f t="shared" si="1"/>
        <v>4.7480169031310382</v>
      </c>
      <c r="T27" s="68">
        <f t="shared" si="5"/>
        <v>0.10244059264966636</v>
      </c>
      <c r="U27" s="69">
        <f>T27*'Assumed Values'!$D$8</f>
        <v>0</v>
      </c>
    </row>
    <row r="28" spans="3:21" x14ac:dyDescent="0.25">
      <c r="F28" s="54">
        <f t="shared" si="2"/>
        <v>2042</v>
      </c>
      <c r="G28" s="63">
        <f t="shared" si="6"/>
        <v>72745.63185929005</v>
      </c>
      <c r="H28" s="62">
        <f t="shared" si="8"/>
        <v>6.3971814068473076E-3</v>
      </c>
      <c r="I28" s="54">
        <f>IF(AND(F28&gt;='Inputs &amp; Outputs'!B$13,F28&lt;'Inputs &amp; Outputs'!B$13+'Inputs &amp; Outputs'!B$19),1,0)</f>
        <v>1</v>
      </c>
      <c r="J28" s="55">
        <f>I28*'Inputs &amp; Outputs'!B$16*'Benefit Calculations'!G28*('Benefit Calculations'!C$4-'Benefit Calculations'!C$5)</f>
        <v>396.52278347796619</v>
      </c>
      <c r="K28" s="71">
        <f t="shared" si="3"/>
        <v>0.11364389550991993</v>
      </c>
      <c r="L28" s="56">
        <f>K28*'Assumed Values'!$C$8</f>
        <v>853.23836748847884</v>
      </c>
      <c r="M28" s="57">
        <f t="shared" si="0"/>
        <v>168.21306016098259</v>
      </c>
      <c r="N28" s="55">
        <f>I28*'Inputs &amp; Outputs'!B$16*'Benefit Calculations'!G28*('Benefit Calculations'!D$4-'Benefit Calculations'!D$5)</f>
        <v>41.489252364306033</v>
      </c>
      <c r="O28" s="71">
        <f t="shared" si="4"/>
        <v>1.1890868461877159E-2</v>
      </c>
      <c r="P28" s="56">
        <f>ABS(O28*'Assumed Values'!$C$7)</f>
        <v>22.652104419875986</v>
      </c>
      <c r="Q28" s="57">
        <f t="shared" si="1"/>
        <v>4.4657858211057411</v>
      </c>
      <c r="T28" s="68">
        <f t="shared" si="5"/>
        <v>0.1030959237042712</v>
      </c>
      <c r="U28" s="69">
        <f>T28*'Assumed Values'!$D$8</f>
        <v>0</v>
      </c>
    </row>
    <row r="29" spans="3:21" x14ac:dyDescent="0.25">
      <c r="F29" s="54">
        <f t="shared" si="2"/>
        <v>2043</v>
      </c>
      <c r="G29" s="63">
        <f t="shared" si="6"/>
        <v>73210.998862849665</v>
      </c>
      <c r="H29" s="62">
        <f t="shared" si="8"/>
        <v>6.3971814068473076E-3</v>
      </c>
      <c r="I29" s="54">
        <f>IF(AND(F29&gt;='Inputs &amp; Outputs'!B$13,F29&lt;'Inputs &amp; Outputs'!B$13+'Inputs &amp; Outputs'!B$19),1,0)</f>
        <v>0</v>
      </c>
      <c r="J29" s="55">
        <f>I29*'Inputs &amp; Outputs'!B$16*'Benefit Calculations'!G29*('Benefit Calculations'!C$4-'Benefit Calculations'!C$5)</f>
        <v>0</v>
      </c>
      <c r="K29" s="71">
        <f t="shared" si="3"/>
        <v>0</v>
      </c>
      <c r="L29" s="56">
        <f>K29*'Assumed Values'!$C$8</f>
        <v>0</v>
      </c>
      <c r="M29" s="57">
        <f t="shared" si="0"/>
        <v>0</v>
      </c>
      <c r="N29" s="55">
        <f>I29*'Inputs &amp; Outputs'!B$16*'Benefit Calculations'!G29*('Benefit Calculations'!D$4-'Benefit Calculations'!D$5)</f>
        <v>0</v>
      </c>
      <c r="O29" s="71">
        <f t="shared" si="4"/>
        <v>0</v>
      </c>
      <c r="P29" s="56">
        <f>ABS(O29*'Assumed Values'!$C$7)</f>
        <v>0</v>
      </c>
      <c r="Q29" s="57">
        <f t="shared" si="1"/>
        <v>0</v>
      </c>
      <c r="T29" s="68">
        <f t="shared" si="5"/>
        <v>0</v>
      </c>
      <c r="U29" s="69">
        <f>T29*'Assumed Values'!$D$8</f>
        <v>0</v>
      </c>
    </row>
    <row r="30" spans="3:21" x14ac:dyDescent="0.25">
      <c r="F30" s="54">
        <f t="shared" si="2"/>
        <v>2044</v>
      </c>
      <c r="G30" s="63">
        <f t="shared" si="6"/>
        <v>73679.342903551806</v>
      </c>
      <c r="H30" s="62">
        <f t="shared" si="8"/>
        <v>6.3971814068473076E-3</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x14ac:dyDescent="0.25">
      <c r="F31" s="54">
        <f t="shared" si="2"/>
        <v>2045</v>
      </c>
      <c r="G31" s="63">
        <f>'Inputs &amp; Outputs'!$B$24</f>
        <v>76553</v>
      </c>
      <c r="H31" s="62">
        <f t="shared" si="8"/>
        <v>6.3971814068473076E-3</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x14ac:dyDescent="0.25">
      <c r="F32" s="54">
        <f t="shared" si="2"/>
        <v>2046</v>
      </c>
      <c r="G32" s="63">
        <f t="shared" si="6"/>
        <v>77042.723428238387</v>
      </c>
      <c r="H32" s="62">
        <f t="shared" si="8"/>
        <v>6.3971814068473076E-3</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x14ac:dyDescent="0.25">
      <c r="F33" s="54">
        <f t="shared" si="2"/>
        <v>2047</v>
      </c>
      <c r="G33" s="63">
        <f t="shared" si="6"/>
        <v>77535.579706086399</v>
      </c>
      <c r="H33" s="62">
        <f t="shared" si="8"/>
        <v>6.3971814068473076E-3</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x14ac:dyDescent="0.25">
      <c r="F34" s="54">
        <f t="shared" si="2"/>
        <v>2048</v>
      </c>
      <c r="G34" s="63">
        <f t="shared" si="6"/>
        <v>78031.588874951296</v>
      </c>
      <c r="H34" s="62">
        <f t="shared" si="8"/>
        <v>6.3971814068473076E-3</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x14ac:dyDescent="0.25">
      <c r="F35" s="54">
        <f t="shared" si="2"/>
        <v>2049</v>
      </c>
      <c r="G35" s="63">
        <f t="shared" si="6"/>
        <v>78530.771104448882</v>
      </c>
      <c r="H35" s="62">
        <f t="shared" si="8"/>
        <v>6.3971814068473076E-3</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x14ac:dyDescent="0.25">
      <c r="F36" s="54">
        <f t="shared" si="2"/>
        <v>2050</v>
      </c>
      <c r="G36" s="63">
        <f t="shared" si="6"/>
        <v>79033.146693223651</v>
      </c>
      <c r="H36" s="62">
        <f t="shared" si="8"/>
        <v>6.3971814068473076E-3</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x14ac:dyDescent="0.25">
      <c r="F37" s="54" t="s">
        <v>101</v>
      </c>
      <c r="G37" s="54"/>
      <c r="H37" s="54"/>
      <c r="I37" s="54"/>
      <c r="J37" s="55">
        <f>SUM(J4:J36)</f>
        <v>7467.3528689570721</v>
      </c>
      <c r="K37" s="55">
        <f t="shared" ref="K37:Q37" si="9">SUM(K4:K36)</f>
        <v>2.14015210357418</v>
      </c>
      <c r="L37" s="58">
        <f t="shared" si="9"/>
        <v>16068.26199363494</v>
      </c>
      <c r="M37" s="59">
        <f t="shared" si="9"/>
        <v>6401.864131671643</v>
      </c>
      <c r="N37" s="55">
        <f t="shared" si="9"/>
        <v>781.32934747417949</v>
      </c>
      <c r="O37" s="55">
        <f t="shared" si="9"/>
        <v>0.22392990875421817</v>
      </c>
      <c r="P37" s="55">
        <f t="shared" si="9"/>
        <v>426.58647617678571</v>
      </c>
      <c r="Q37" s="59">
        <f t="shared" si="9"/>
        <v>169.9591817692644</v>
      </c>
      <c r="T37" s="68">
        <f>SUM(T4:T36)</f>
        <v>1.9415117459288389</v>
      </c>
      <c r="U37" s="69">
        <f>SUM(U4:U36)</f>
        <v>0</v>
      </c>
    </row>
    <row r="39" spans="6:21" x14ac:dyDescent="0.25">
      <c r="O39" s="60"/>
    </row>
    <row r="40" spans="6:21" x14ac:dyDescent="0.25">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102</v>
      </c>
    </row>
    <row r="3" spans="2:4" x14ac:dyDescent="0.25">
      <c r="B3" s="2"/>
    </row>
    <row r="4" spans="2:4" x14ac:dyDescent="0.25">
      <c r="B4" s="3" t="s">
        <v>103</v>
      </c>
    </row>
    <row r="5" spans="2:4" x14ac:dyDescent="0.25">
      <c r="B5" s="3"/>
    </row>
    <row r="6" spans="2:4" x14ac:dyDescent="0.25">
      <c r="B6" s="26" t="s">
        <v>104</v>
      </c>
      <c r="C6" s="26" t="s">
        <v>105</v>
      </c>
      <c r="D6" s="2"/>
    </row>
    <row r="7" spans="2:4" x14ac:dyDescent="0.25">
      <c r="B7" s="25" t="s">
        <v>106</v>
      </c>
      <c r="C7" s="51">
        <v>1905</v>
      </c>
      <c r="D7" s="69"/>
    </row>
    <row r="8" spans="2:4" x14ac:dyDescent="0.25">
      <c r="B8" s="25" t="s">
        <v>107</v>
      </c>
      <c r="C8" s="51">
        <v>7508</v>
      </c>
      <c r="D8" s="69"/>
    </row>
    <row r="9" spans="2:4" x14ac:dyDescent="0.25">
      <c r="C9" s="24"/>
    </row>
    <row r="10" spans="2:4" x14ac:dyDescent="0.25">
      <c r="C10" s="24"/>
    </row>
    <row r="11" spans="2:4" x14ac:dyDescent="0.25">
      <c r="B11" s="2" t="s">
        <v>108</v>
      </c>
    </row>
    <row r="12" spans="2:4" ht="75" x14ac:dyDescent="0.2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x14ac:dyDescent="0.25">
      <c r="A1" s="99" t="s">
        <v>111</v>
      </c>
      <c r="B1" s="99"/>
      <c r="C1" s="99"/>
      <c r="D1" s="99"/>
      <c r="E1" s="99"/>
      <c r="F1" s="99"/>
      <c r="G1" s="99"/>
      <c r="H1" s="99"/>
      <c r="I1" s="99"/>
      <c r="J1" s="99"/>
    </row>
    <row r="2" spans="1:14" x14ac:dyDescent="0.25">
      <c r="A2" s="72" t="s">
        <v>112</v>
      </c>
      <c r="B2" s="72" t="s">
        <v>113</v>
      </c>
      <c r="C2" s="92" t="s">
        <v>55</v>
      </c>
      <c r="D2" s="92" t="s">
        <v>114</v>
      </c>
      <c r="E2" s="92" t="s">
        <v>115</v>
      </c>
      <c r="F2" s="92" t="s">
        <v>116</v>
      </c>
      <c r="G2" s="92" t="s">
        <v>117</v>
      </c>
      <c r="H2" s="92" t="s">
        <v>118</v>
      </c>
      <c r="I2" s="92" t="s">
        <v>119</v>
      </c>
      <c r="J2" s="92" t="s">
        <v>120</v>
      </c>
    </row>
    <row r="3" spans="1:14" x14ac:dyDescent="0.25">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x14ac:dyDescent="0.25">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x14ac:dyDescent="0.25">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x14ac:dyDescent="0.25">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x14ac:dyDescent="0.25">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x14ac:dyDescent="0.25">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x14ac:dyDescent="0.25">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x14ac:dyDescent="0.25">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x14ac:dyDescent="0.25">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x14ac:dyDescent="0.25">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x14ac:dyDescent="0.25">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x14ac:dyDescent="0.25">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x14ac:dyDescent="0.25">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x14ac:dyDescent="0.25">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x14ac:dyDescent="0.25">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x14ac:dyDescent="0.25">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x14ac:dyDescent="0.25">
      <c r="A20" s="99" t="s">
        <v>111</v>
      </c>
      <c r="B20" s="99"/>
      <c r="C20" s="99"/>
      <c r="D20" s="99"/>
      <c r="E20" s="99"/>
      <c r="F20" s="99"/>
      <c r="G20" s="99"/>
      <c r="H20" s="99"/>
      <c r="I20" s="99"/>
      <c r="J20" s="99"/>
    </row>
    <row r="21" spans="1:10" x14ac:dyDescent="0.25">
      <c r="A21" s="72" t="s">
        <v>112</v>
      </c>
      <c r="B21" s="72" t="s">
        <v>113</v>
      </c>
      <c r="C21" s="92" t="s">
        <v>55</v>
      </c>
      <c r="D21" s="92" t="s">
        <v>114</v>
      </c>
      <c r="E21" s="92" t="s">
        <v>115</v>
      </c>
      <c r="F21" s="92" t="s">
        <v>116</v>
      </c>
      <c r="G21" s="92" t="s">
        <v>117</v>
      </c>
      <c r="H21" s="92" t="s">
        <v>118</v>
      </c>
      <c r="I21" s="92" t="s">
        <v>119</v>
      </c>
      <c r="J21" s="92" t="s">
        <v>120</v>
      </c>
    </row>
    <row r="22" spans="1:10" x14ac:dyDescent="0.25">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x14ac:dyDescent="0.25">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x14ac:dyDescent="0.25">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x14ac:dyDescent="0.25">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x14ac:dyDescent="0.25">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x14ac:dyDescent="0.25">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x14ac:dyDescent="0.25">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x14ac:dyDescent="0.25">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x14ac:dyDescent="0.25">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x14ac:dyDescent="0.25">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x14ac:dyDescent="0.25">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x14ac:dyDescent="0.25">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x14ac:dyDescent="0.25">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x14ac:dyDescent="0.25">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x14ac:dyDescent="0.25">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x14ac:dyDescent="0.25">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selection activeCell="K11" sqref="K11"/>
    </sheetView>
  </sheetViews>
  <sheetFormatPr defaultRowHeight="15" x14ac:dyDescent="0.25"/>
  <cols>
    <col min="1" max="1" width="13.42578125" bestFit="1" customWidth="1"/>
    <col min="3" max="9" width="12.140625" style="38" bestFit="1" customWidth="1"/>
    <col min="10" max="10" width="10.5703125" style="38" bestFit="1" customWidth="1"/>
  </cols>
  <sheetData>
    <row r="1" spans="1:14" x14ac:dyDescent="0.25">
      <c r="A1" s="99" t="s">
        <v>111</v>
      </c>
      <c r="B1" s="99"/>
      <c r="C1" s="99"/>
      <c r="D1" s="99"/>
      <c r="E1" s="99"/>
      <c r="F1" s="99"/>
      <c r="G1" s="99"/>
      <c r="H1" s="99"/>
      <c r="I1" s="99"/>
      <c r="J1" s="99"/>
    </row>
    <row r="2" spans="1:14" s="2" customFormat="1" x14ac:dyDescent="0.25">
      <c r="A2" s="72" t="s">
        <v>112</v>
      </c>
      <c r="B2" s="72" t="s">
        <v>113</v>
      </c>
      <c r="C2" s="92" t="s">
        <v>55</v>
      </c>
      <c r="D2" s="92" t="s">
        <v>114</v>
      </c>
      <c r="E2" s="92" t="s">
        <v>115</v>
      </c>
      <c r="F2" s="92" t="s">
        <v>116</v>
      </c>
      <c r="G2" s="92" t="s">
        <v>117</v>
      </c>
      <c r="H2" s="92" t="s">
        <v>118</v>
      </c>
      <c r="I2" s="92" t="s">
        <v>119</v>
      </c>
      <c r="J2" s="92" t="s">
        <v>120</v>
      </c>
    </row>
    <row r="3" spans="1:14" x14ac:dyDescent="0.25">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x14ac:dyDescent="0.25">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x14ac:dyDescent="0.25">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x14ac:dyDescent="0.25">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x14ac:dyDescent="0.25">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x14ac:dyDescent="0.25">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x14ac:dyDescent="0.25">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x14ac:dyDescent="0.25">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x14ac:dyDescent="0.25">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x14ac:dyDescent="0.25">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x14ac:dyDescent="0.25">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x14ac:dyDescent="0.25">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x14ac:dyDescent="0.25">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x14ac:dyDescent="0.25">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x14ac:dyDescent="0.25">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x14ac:dyDescent="0.25">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x14ac:dyDescent="0.25">
      <c r="A20" s="99" t="s">
        <v>111</v>
      </c>
      <c r="B20" s="99"/>
      <c r="C20" s="99"/>
      <c r="D20" s="99"/>
      <c r="E20" s="99"/>
      <c r="F20" s="99"/>
      <c r="G20" s="99"/>
      <c r="H20" s="99"/>
      <c r="I20" s="99"/>
      <c r="J20" s="99"/>
    </row>
    <row r="21" spans="1:10" s="2" customFormat="1" x14ac:dyDescent="0.25">
      <c r="A21" s="72" t="s">
        <v>112</v>
      </c>
      <c r="B21" s="72" t="s">
        <v>113</v>
      </c>
      <c r="C21" s="92" t="s">
        <v>55</v>
      </c>
      <c r="D21" s="92" t="s">
        <v>114</v>
      </c>
      <c r="E21" s="92" t="s">
        <v>115</v>
      </c>
      <c r="F21" s="92" t="s">
        <v>116</v>
      </c>
      <c r="G21" s="92" t="s">
        <v>117</v>
      </c>
      <c r="H21" s="92" t="s">
        <v>118</v>
      </c>
      <c r="I21" s="92" t="s">
        <v>119</v>
      </c>
      <c r="J21" s="92" t="s">
        <v>120</v>
      </c>
    </row>
    <row r="22" spans="1:10" x14ac:dyDescent="0.25">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x14ac:dyDescent="0.25">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x14ac:dyDescent="0.25">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x14ac:dyDescent="0.25">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x14ac:dyDescent="0.25">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x14ac:dyDescent="0.25">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x14ac:dyDescent="0.25">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x14ac:dyDescent="0.25">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x14ac:dyDescent="0.25">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x14ac:dyDescent="0.25">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x14ac:dyDescent="0.25">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x14ac:dyDescent="0.25">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x14ac:dyDescent="0.25">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x14ac:dyDescent="0.25">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x14ac:dyDescent="0.25">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x14ac:dyDescent="0.25">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124</v>
      </c>
      <c r="C2" t="s">
        <v>125</v>
      </c>
    </row>
    <row r="3" spans="2:4" x14ac:dyDescent="0.25">
      <c r="C3" t="s">
        <v>126</v>
      </c>
    </row>
    <row r="5" spans="2:4" x14ac:dyDescent="0.25">
      <c r="C5" s="74" t="s">
        <v>127</v>
      </c>
      <c r="D5" s="75" t="s">
        <v>128</v>
      </c>
    </row>
    <row r="6" spans="2:4" x14ac:dyDescent="0.25">
      <c r="C6" s="73" t="s">
        <v>60</v>
      </c>
      <c r="D6" s="54">
        <v>20</v>
      </c>
    </row>
    <row r="7" spans="2:4" x14ac:dyDescent="0.25">
      <c r="C7" s="73" t="s">
        <v>129</v>
      </c>
      <c r="D7" s="54">
        <v>20</v>
      </c>
    </row>
    <row r="8" spans="2:4" x14ac:dyDescent="0.25">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A9D600-3F67-477C-B4D1-88AB08D0C04A}">
  <ds:schemaRefs>
    <ds:schemaRef ds:uri="http://schemas.microsoft.com/sharepoint/v3/contenttype/forms"/>
  </ds:schemaRefs>
</ds:datastoreItem>
</file>

<file path=customXml/itemProps2.xml><?xml version="1.0" encoding="utf-8"?>
<ds:datastoreItem xmlns:ds="http://schemas.openxmlformats.org/officeDocument/2006/customXml" ds:itemID="{3DC7076A-9F5A-41B1-9860-3EFF6C7E51A5}">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5D90540-3F5E-474C-9A86-D177C8B4CD2B"/>
    <ds:schemaRef ds:uri="http://purl.org/dc/terms/"/>
    <ds:schemaRef ds:uri="bb691747-8bc2-4259-b27e-e7a3fc70b31c"/>
    <ds:schemaRef ds:uri="http://www.w3.org/XML/1998/namespace"/>
    <ds:schemaRef ds:uri="http://purl.org/dc/dcmitype/"/>
  </ds:schemaRefs>
</ds:datastoreItem>
</file>

<file path=customXml/itemProps3.xml><?xml version="1.0" encoding="utf-8"?>
<ds:datastoreItem xmlns:ds="http://schemas.openxmlformats.org/officeDocument/2006/customXml" ds:itemID="{2B37C523-B3F5-429B-A413-9D17103F09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2018-10-29T21:19:31Z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